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ingstongrammar.sharepoint.com/teams/Finance/Fees/Fees in Advance/"/>
    </mc:Choice>
  </mc:AlternateContent>
  <xr:revisionPtr revIDLastSave="140" documentId="13_ncr:1_{B9E4AC6B-EB82-4EAD-99E0-8F405549107B}" xr6:coauthVersionLast="47" xr6:coauthVersionMax="47" xr10:uidLastSave="{2F5E21ED-2FCB-46AD-96B9-FF86697BBF03}"/>
  <bookViews>
    <workbookView xWindow="-120" yWindow="-120" windowWidth="29040" windowHeight="15720" xr2:uid="{AC57A2B5-2F06-4D69-8846-DC0B3D63C870}"/>
  </bookViews>
  <sheets>
    <sheet name="FIA - Termly Contribution" sheetId="8" r:id="rId1"/>
    <sheet name="FIA - Total Contribution" sheetId="11" r:id="rId2"/>
    <sheet name="FIA Calculator" sheetId="7" r:id="rId3"/>
    <sheet name="FIA ST (Data)" sheetId="5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7" l="1"/>
  <c r="E15" i="11" l="1"/>
  <c r="E13" i="11" s="1"/>
  <c r="E14" i="11" s="1"/>
  <c r="C42" i="11" l="1"/>
  <c r="C41" i="11" l="1"/>
  <c r="C40" i="11" l="1"/>
  <c r="C39" i="11"/>
  <c r="C38" i="11" l="1"/>
  <c r="C37" i="11" l="1"/>
  <c r="C36" i="11" l="1"/>
  <c r="C35" i="11" l="1"/>
  <c r="C34" i="11" l="1"/>
  <c r="C33" i="11" l="1"/>
  <c r="C32" i="11" l="1"/>
  <c r="C31" i="11" l="1"/>
  <c r="C30" i="11" l="1"/>
  <c r="C29" i="11" l="1"/>
  <c r="D43" i="11" l="1"/>
  <c r="E43" i="11" s="1"/>
  <c r="F43" i="11" s="1"/>
  <c r="C28" i="11"/>
  <c r="D42" i="11" l="1"/>
  <c r="C27" i="11"/>
  <c r="E42" i="11" l="1"/>
  <c r="F42" i="11" s="1"/>
  <c r="D41" i="11"/>
  <c r="C26" i="11"/>
  <c r="E41" i="11" l="1"/>
  <c r="F41" i="11" s="1"/>
  <c r="D40" i="11"/>
  <c r="C25" i="11"/>
  <c r="E40" i="11" l="1"/>
  <c r="F40" i="11" s="1"/>
  <c r="D39" i="11"/>
  <c r="C24" i="11"/>
  <c r="E39" i="11" l="1"/>
  <c r="F39" i="11" s="1"/>
  <c r="D38" i="11"/>
  <c r="C23" i="11"/>
  <c r="E38" i="11" l="1"/>
  <c r="F38" i="11" s="1"/>
  <c r="D37" i="11"/>
  <c r="E37" i="11" l="1"/>
  <c r="F37" i="11" s="1"/>
  <c r="D36" i="11"/>
  <c r="E36" i="11" l="1"/>
  <c r="F36" i="11" s="1"/>
  <c r="D35" i="11"/>
  <c r="E35" i="11" l="1"/>
  <c r="F35" i="11" s="1"/>
  <c r="D34" i="11"/>
  <c r="E34" i="11" l="1"/>
  <c r="F34" i="11" s="1"/>
  <c r="D33" i="11"/>
  <c r="E33" i="11" l="1"/>
  <c r="F33" i="11" s="1"/>
  <c r="D32" i="11"/>
  <c r="E32" i="11" l="1"/>
  <c r="F32" i="11" s="1"/>
  <c r="D31" i="11"/>
  <c r="E31" i="11" l="1"/>
  <c r="F31" i="11" s="1"/>
  <c r="D30" i="11"/>
  <c r="E30" i="11" l="1"/>
  <c r="F30" i="11" s="1"/>
  <c r="D29" i="11"/>
  <c r="E29" i="11" l="1"/>
  <c r="F29" i="11" s="1"/>
  <c r="D28" i="11"/>
  <c r="E28" i="11" l="1"/>
  <c r="F28" i="11" s="1"/>
  <c r="D27" i="11"/>
  <c r="E27" i="11" l="1"/>
  <c r="F27" i="11" s="1"/>
  <c r="D26" i="11"/>
  <c r="E26" i="11" l="1"/>
  <c r="F26" i="11" s="1"/>
  <c r="D25" i="11"/>
  <c r="C3" i="7"/>
  <c r="C4" i="7" s="1"/>
  <c r="C5" i="7" s="1"/>
  <c r="C6" i="7" s="1"/>
  <c r="C7" i="7" s="1"/>
  <c r="E25" i="11" l="1"/>
  <c r="F25" i="11" s="1"/>
  <c r="D24" i="11"/>
  <c r="J35" i="5"/>
  <c r="J34" i="5" s="1"/>
  <c r="J33" i="5" s="1"/>
  <c r="J32" i="5" s="1"/>
  <c r="J31" i="5" s="1"/>
  <c r="J30" i="5" s="1"/>
  <c r="J29" i="5" s="1"/>
  <c r="J28" i="5" s="1"/>
  <c r="J27" i="5" s="1"/>
  <c r="J26" i="5" s="1"/>
  <c r="J25" i="5" s="1"/>
  <c r="J24" i="5" s="1"/>
  <c r="J23" i="5" s="1"/>
  <c r="J22" i="5" s="1"/>
  <c r="J21" i="5" s="1"/>
  <c r="J20" i="5" s="1"/>
  <c r="J19" i="5" s="1"/>
  <c r="J18" i="5" s="1"/>
  <c r="J17" i="5" s="1"/>
  <c r="J36" i="5"/>
  <c r="E24" i="11" l="1"/>
  <c r="F24" i="11" s="1"/>
  <c r="D23" i="11"/>
  <c r="E23" i="11" s="1"/>
  <c r="F23" i="11" s="1"/>
  <c r="C41" i="8"/>
  <c r="B9" i="7"/>
  <c r="C40" i="8" l="1"/>
  <c r="C36" i="5"/>
  <c r="C35" i="5" s="1"/>
  <c r="C34" i="5" s="1"/>
  <c r="C33" i="5" s="1"/>
  <c r="C32" i="5" s="1"/>
  <c r="C31" i="5" s="1"/>
  <c r="C30" i="5" s="1"/>
  <c r="C29" i="5" s="1"/>
  <c r="C28" i="5" s="1"/>
  <c r="C27" i="5" s="1"/>
  <c r="C26" i="5" s="1"/>
  <c r="C25" i="5" s="1"/>
  <c r="C24" i="5" s="1"/>
  <c r="C23" i="5" s="1"/>
  <c r="C22" i="5" s="1"/>
  <c r="C21" i="5" s="1"/>
  <c r="C20" i="5" s="1"/>
  <c r="C19" i="5" s="1"/>
  <c r="C18" i="5" s="1"/>
  <c r="C17" i="5" s="1"/>
  <c r="C39" i="8" l="1"/>
  <c r="C38" i="8" l="1"/>
  <c r="E2" i="7"/>
  <c r="C37" i="8" l="1"/>
  <c r="D3" i="7"/>
  <c r="E3" i="7" s="1"/>
  <c r="C36" i="8" l="1"/>
  <c r="D4" i="7"/>
  <c r="D5" i="7" s="1"/>
  <c r="D6" i="7" l="1"/>
  <c r="E5" i="7"/>
  <c r="E4" i="7"/>
  <c r="C35" i="8"/>
  <c r="D7" i="7" l="1"/>
  <c r="E7" i="7" s="1"/>
  <c r="E6" i="7"/>
  <c r="C34" i="8"/>
  <c r="E9" i="7" l="1"/>
  <c r="E10" i="7" s="1"/>
  <c r="E12" i="5" s="1"/>
  <c r="D37" i="5" s="1"/>
  <c r="C33" i="8"/>
  <c r="C32" i="8" l="1"/>
  <c r="D36" i="5"/>
  <c r="D35" i="5" s="1"/>
  <c r="D34" i="5" s="1"/>
  <c r="D33" i="5" s="1"/>
  <c r="D32" i="5" s="1"/>
  <c r="D31" i="5" s="1"/>
  <c r="D30" i="5" s="1"/>
  <c r="D29" i="5" s="1"/>
  <c r="D28" i="5" s="1"/>
  <c r="D27" i="5" s="1"/>
  <c r="D26" i="5" s="1"/>
  <c r="D25" i="5" s="1"/>
  <c r="D24" i="5" s="1"/>
  <c r="D23" i="5" s="1"/>
  <c r="D22" i="5" s="1"/>
  <c r="D21" i="5" s="1"/>
  <c r="D20" i="5" s="1"/>
  <c r="D19" i="5" s="1"/>
  <c r="D18" i="5" s="1"/>
  <c r="D17" i="5" s="1"/>
  <c r="E17" i="5" s="1"/>
  <c r="F17" i="5" s="1"/>
  <c r="C31" i="8" l="1"/>
  <c r="E13" i="7"/>
  <c r="L12" i="5"/>
  <c r="E21" i="5"/>
  <c r="F21" i="5" s="1"/>
  <c r="E24" i="5"/>
  <c r="F24" i="5" s="1"/>
  <c r="E26" i="5"/>
  <c r="F26" i="5" s="1"/>
  <c r="E25" i="5"/>
  <c r="F25" i="5" s="1"/>
  <c r="E27" i="5"/>
  <c r="F27" i="5" s="1"/>
  <c r="E19" i="5"/>
  <c r="F19" i="5" s="1"/>
  <c r="E23" i="5"/>
  <c r="F23" i="5" s="1"/>
  <c r="E18" i="5"/>
  <c r="F18" i="5" s="1"/>
  <c r="E22" i="5"/>
  <c r="F22" i="5" s="1"/>
  <c r="E20" i="5"/>
  <c r="F20" i="5" s="1"/>
  <c r="E28" i="5"/>
  <c r="F28" i="5" s="1"/>
  <c r="E14" i="7" l="1"/>
  <c r="E11" i="7" s="1"/>
  <c r="C30" i="8"/>
  <c r="K37" i="5"/>
  <c r="L37" i="5" s="1"/>
  <c r="M37" i="5" s="1"/>
  <c r="E29" i="5"/>
  <c r="F29" i="5" s="1"/>
  <c r="C29" i="8" l="1"/>
  <c r="K36" i="5"/>
  <c r="L36" i="5" s="1"/>
  <c r="M36" i="5" s="1"/>
  <c r="E30" i="5"/>
  <c r="F30" i="5" s="1"/>
  <c r="C28" i="8" l="1"/>
  <c r="K35" i="5"/>
  <c r="K34" i="5" s="1"/>
  <c r="E31" i="5"/>
  <c r="F31" i="5" s="1"/>
  <c r="C27" i="8" l="1"/>
  <c r="L35" i="5"/>
  <c r="M35" i="5" s="1"/>
  <c r="K33" i="5"/>
  <c r="L34" i="5"/>
  <c r="M34" i="5" s="1"/>
  <c r="E32" i="5"/>
  <c r="F32" i="5" s="1"/>
  <c r="C26" i="8" l="1"/>
  <c r="K32" i="5"/>
  <c r="L33" i="5"/>
  <c r="M33" i="5" s="1"/>
  <c r="E33" i="5"/>
  <c r="F33" i="5" s="1"/>
  <c r="C25" i="8" l="1"/>
  <c r="L32" i="5"/>
  <c r="M32" i="5" s="1"/>
  <c r="K31" i="5"/>
  <c r="E34" i="5"/>
  <c r="F34" i="5" s="1"/>
  <c r="C24" i="8" l="1"/>
  <c r="K30" i="5"/>
  <c r="L31" i="5"/>
  <c r="M31" i="5" s="1"/>
  <c r="E35" i="5"/>
  <c r="F35" i="5" s="1"/>
  <c r="C23" i="8" l="1"/>
  <c r="K29" i="5"/>
  <c r="L30" i="5"/>
  <c r="M30" i="5" s="1"/>
  <c r="E36" i="5"/>
  <c r="F36" i="5" s="1"/>
  <c r="E37" i="5"/>
  <c r="F37" i="5" s="1"/>
  <c r="C22" i="8" l="1"/>
  <c r="L29" i="5"/>
  <c r="M29" i="5" s="1"/>
  <c r="K28" i="5"/>
  <c r="L28" i="5" l="1"/>
  <c r="M28" i="5" s="1"/>
  <c r="K27" i="5"/>
  <c r="K26" i="5" l="1"/>
  <c r="L27" i="5"/>
  <c r="M27" i="5" s="1"/>
  <c r="L26" i="5" l="1"/>
  <c r="M26" i="5" s="1"/>
  <c r="K25" i="5"/>
  <c r="K24" i="5" l="1"/>
  <c r="L25" i="5"/>
  <c r="M25" i="5" s="1"/>
  <c r="L24" i="5" l="1"/>
  <c r="M24" i="5" s="1"/>
  <c r="K23" i="5"/>
  <c r="K22" i="5" l="1"/>
  <c r="L23" i="5"/>
  <c r="M23" i="5" s="1"/>
  <c r="L22" i="5" l="1"/>
  <c r="M22" i="5" s="1"/>
  <c r="K21" i="5"/>
  <c r="L21" i="5" l="1"/>
  <c r="M21" i="5" s="1"/>
  <c r="K20" i="5"/>
  <c r="L20" i="5" l="1"/>
  <c r="M20" i="5" s="1"/>
  <c r="K19" i="5"/>
  <c r="K18" i="5" l="1"/>
  <c r="L19" i="5"/>
  <c r="M19" i="5" s="1"/>
  <c r="L18" i="5" l="1"/>
  <c r="M18" i="5" s="1"/>
  <c r="K17" i="5"/>
  <c r="L17" i="5" l="1"/>
  <c r="M17" i="5" s="1"/>
  <c r="D22" i="8" l="1"/>
  <c r="E22" i="8" s="1"/>
  <c r="F22" i="8" s="1"/>
  <c r="D23" i="8"/>
  <c r="E23" i="8" s="1"/>
  <c r="F23" i="8" s="1"/>
  <c r="D24" i="8"/>
  <c r="E24" i="8" s="1"/>
  <c r="F24" i="8" s="1"/>
  <c r="D25" i="8"/>
  <c r="E25" i="8" s="1"/>
  <c r="F25" i="8" s="1"/>
  <c r="D26" i="8"/>
  <c r="E26" i="8" s="1"/>
  <c r="F26" i="8" s="1"/>
  <c r="D27" i="8"/>
  <c r="E27" i="8" s="1"/>
  <c r="F27" i="8" s="1"/>
  <c r="D28" i="8"/>
  <c r="E28" i="8" s="1"/>
  <c r="F28" i="8" s="1"/>
  <c r="D29" i="8"/>
  <c r="E29" i="8" s="1"/>
  <c r="F29" i="8" s="1"/>
  <c r="D30" i="8"/>
  <c r="E30" i="8" s="1"/>
  <c r="F30" i="8" s="1"/>
  <c r="D41" i="8"/>
  <c r="E41" i="8" s="1"/>
  <c r="F41" i="8" s="1"/>
  <c r="D42" i="8"/>
  <c r="E42" i="8" s="1"/>
  <c r="F42" i="8" s="1"/>
  <c r="D32" i="8"/>
  <c r="E32" i="8" s="1"/>
  <c r="F32" i="8" s="1"/>
  <c r="D33" i="8"/>
  <c r="E33" i="8" s="1"/>
  <c r="F33" i="8" s="1"/>
  <c r="D38" i="8"/>
  <c r="E38" i="8" s="1"/>
  <c r="F38" i="8" s="1"/>
  <c r="D34" i="8"/>
  <c r="D39" i="8"/>
  <c r="E39" i="8" s="1"/>
  <c r="F39" i="8" s="1"/>
  <c r="D35" i="8"/>
  <c r="E35" i="8" s="1"/>
  <c r="F35" i="8" s="1"/>
  <c r="D40" i="8"/>
  <c r="E40" i="8" s="1"/>
  <c r="F40" i="8" s="1"/>
  <c r="D36" i="8"/>
  <c r="E36" i="8" s="1"/>
  <c r="F36" i="8" s="1"/>
  <c r="D31" i="8"/>
  <c r="D37" i="8"/>
  <c r="E37" i="8" s="1"/>
  <c r="F37" i="8" s="1"/>
  <c r="E34" i="8" l="1"/>
  <c r="F34" i="8" s="1"/>
  <c r="E15" i="8"/>
  <c r="E13" i="8" s="1"/>
  <c r="E31" i="8"/>
  <c r="F31" i="8" s="1"/>
</calcChain>
</file>

<file path=xl/sharedStrings.xml><?xml version="1.0" encoding="utf-8"?>
<sst xmlns="http://schemas.openxmlformats.org/spreadsheetml/2006/main" count="77" uniqueCount="43">
  <si>
    <t>Termly Contribution</t>
  </si>
  <si>
    <t>Commutation Rate</t>
  </si>
  <si>
    <t>Discount %</t>
  </si>
  <si>
    <t>Payable per £1,000</t>
  </si>
  <si>
    <t>Please enter the amount of fees you wish to prepay each term (yellow box)</t>
  </si>
  <si>
    <t>Number of Terms</t>
  </si>
  <si>
    <t>Total Payable (£)</t>
  </si>
  <si>
    <t>Saving (£)</t>
  </si>
  <si>
    <t>Fees in Advance Scheme Table</t>
  </si>
  <si>
    <t>Effective 01/02/2024</t>
  </si>
  <si>
    <t>Terms Remaining</t>
  </si>
  <si>
    <t>Year Ending 2027</t>
  </si>
  <si>
    <t>Year Ending 2028</t>
  </si>
  <si>
    <t>Year Ending 2029</t>
  </si>
  <si>
    <t>Year Ending 2030</t>
  </si>
  <si>
    <t>Grand Total</t>
  </si>
  <si>
    <t>Total Annual Cost</t>
  </si>
  <si>
    <t>Year Ending 2031</t>
  </si>
  <si>
    <t>Discount</t>
  </si>
  <si>
    <t>Discount (Scholarship) %</t>
  </si>
  <si>
    <t>Total Number of Terms</t>
  </si>
  <si>
    <t>Please complete the yellow boxes with:</t>
  </si>
  <si>
    <t>the number of terms you wish to cover and,</t>
  </si>
  <si>
    <t>the termly contribution you would like to make.</t>
  </si>
  <si>
    <t>Estimated Fee Inflation</t>
  </si>
  <si>
    <t>Termly Discount</t>
  </si>
  <si>
    <t>The Termly Contribution shows the total prepaid contribution per term. (G11)</t>
  </si>
  <si>
    <t>The Termly Discount shows the total agreed discount received per term. (G12)</t>
  </si>
  <si>
    <t>The Discount shows the total discount received. (G15)</t>
  </si>
  <si>
    <t>Gross Termly Fees</t>
  </si>
  <si>
    <t>In column B, please enter how many terms you would like to cover per academic year.  Please enter 0 if there are none.</t>
  </si>
  <si>
    <t>In column C, cell C2, please enter any remissions that you receive (scholarship/bursary).  Please note that you will only receive a discount on the school fees whilst the scholarship/bursary is active.</t>
  </si>
  <si>
    <t>This model shows the Gross school fees.</t>
  </si>
  <si>
    <t>Total Up Front Payment</t>
  </si>
  <si>
    <t>the total up front payment you would like to make.</t>
  </si>
  <si>
    <t>Total Discount</t>
  </si>
  <si>
    <t>Do not touch column E.</t>
  </si>
  <si>
    <t>Use column F to estimate the fee inflation.  We have set these with nominal values that may go up or down depending on actual inflation to school costs.</t>
  </si>
  <si>
    <t>Effective 01/02/2025</t>
  </si>
  <si>
    <t>N/A</t>
  </si>
  <si>
    <t>Year Ending 2032</t>
  </si>
  <si>
    <t>You do not need to touch column D - this is driven by the estimated fee inflation in column H. You can of course make your own asumption about the fees you will be covering.</t>
  </si>
  <si>
    <t>FIA Lump Sum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</si>
</sst>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;\(#,##0.00\);\-"/>
    <numFmt numFmtId="165" formatCode="_-* #,##0.000_-;\-* #,##0.000_-;_-* &quot;-&quot;??_-;_-@_-"/>
    <numFmt numFmtId="166" formatCode="_-* #,##0_-;\-* #,##0_-;_-* &quot;-&quot;??_-;_-@_-"/>
    <numFmt numFmtId="167" formatCode="_-* #,##0.000_-;\-* #,##0.000_-;_-* &quot;-&quot;?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/>
    <xf numFmtId="164" fontId="1" fillId="2" borderId="7" xfId="0" applyNumberFormat="1" applyFont="1" applyFill="1" applyBorder="1"/>
    <xf numFmtId="0" fontId="0" fillId="3" borderId="0" xfId="0" applyFill="1"/>
    <xf numFmtId="166" fontId="0" fillId="3" borderId="0" xfId="1" applyNumberFormat="1" applyFon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/>
    <xf numFmtId="0" fontId="0" fillId="3" borderId="3" xfId="0" applyFill="1" applyBorder="1"/>
    <xf numFmtId="10" fontId="1" fillId="3" borderId="4" xfId="0" applyNumberFormat="1" applyFont="1" applyFill="1" applyBorder="1"/>
    <xf numFmtId="0" fontId="1" fillId="3" borderId="5" xfId="0" applyFont="1" applyFill="1" applyBorder="1"/>
    <xf numFmtId="0" fontId="0" fillId="3" borderId="6" xfId="0" applyFill="1" applyBorder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65" fontId="1" fillId="3" borderId="1" xfId="1" applyNumberFormat="1" applyFont="1" applyFill="1" applyBorder="1" applyAlignment="1">
      <alignment horizontal="center" wrapText="1"/>
    </xf>
    <xf numFmtId="166" fontId="1" fillId="3" borderId="1" xfId="1" applyNumberFormat="1" applyFont="1" applyFill="1" applyBorder="1" applyAlignment="1">
      <alignment horizontal="center" wrapText="1"/>
    </xf>
    <xf numFmtId="0" fontId="1" fillId="3" borderId="0" xfId="0" applyFont="1" applyFill="1" applyAlignment="1">
      <alignment wrapText="1"/>
    </xf>
    <xf numFmtId="0" fontId="0" fillId="3" borderId="1" xfId="0" applyFill="1" applyBorder="1" applyAlignment="1">
      <alignment horizontal="center"/>
    </xf>
    <xf numFmtId="165" fontId="0" fillId="3" borderId="1" xfId="1" applyNumberFormat="1" applyFont="1" applyFill="1" applyBorder="1" applyAlignment="1">
      <alignment horizontal="center"/>
    </xf>
    <xf numFmtId="10" fontId="0" fillId="3" borderId="1" xfId="2" applyNumberFormat="1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3" fontId="0" fillId="3" borderId="1" xfId="0" applyNumberFormat="1" applyFill="1" applyBorder="1" applyAlignment="1">
      <alignment horizontal="center"/>
    </xf>
    <xf numFmtId="0" fontId="1" fillId="0" borderId="0" xfId="0" applyFont="1"/>
    <xf numFmtId="0" fontId="8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2" applyNumberFormat="1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0" fillId="3" borderId="0" xfId="0" applyNumberFormat="1" applyFill="1"/>
    <xf numFmtId="0" fontId="1" fillId="3" borderId="9" xfId="0" applyFont="1" applyFill="1" applyBorder="1"/>
    <xf numFmtId="0" fontId="0" fillId="3" borderId="10" xfId="0" applyFill="1" applyBorder="1"/>
    <xf numFmtId="4" fontId="1" fillId="3" borderId="11" xfId="0" applyNumberFormat="1" applyFont="1" applyFill="1" applyBorder="1"/>
    <xf numFmtId="4" fontId="1" fillId="3" borderId="12" xfId="0" applyNumberFormat="1" applyFont="1" applyFill="1" applyBorder="1"/>
    <xf numFmtId="4" fontId="0" fillId="3" borderId="0" xfId="0" applyNumberFormat="1" applyFill="1"/>
    <xf numFmtId="4" fontId="1" fillId="2" borderId="8" xfId="0" applyNumberFormat="1" applyFont="1" applyFill="1" applyBorder="1"/>
    <xf numFmtId="4" fontId="1" fillId="2" borderId="12" xfId="0" applyNumberFormat="1" applyFont="1" applyFill="1" applyBorder="1"/>
    <xf numFmtId="0" fontId="10" fillId="0" borderId="0" xfId="0" applyFont="1"/>
    <xf numFmtId="0" fontId="0" fillId="3" borderId="13" xfId="0" applyFill="1" applyBorder="1"/>
    <xf numFmtId="0" fontId="0" fillId="3" borderId="14" xfId="0" applyFill="1" applyBorder="1"/>
    <xf numFmtId="0" fontId="1" fillId="3" borderId="15" xfId="0" applyFont="1" applyFill="1" applyBorder="1"/>
    <xf numFmtId="0" fontId="1" fillId="3" borderId="16" xfId="0" applyFont="1" applyFill="1" applyBorder="1"/>
    <xf numFmtId="164" fontId="1" fillId="0" borderId="7" xfId="0" applyNumberFormat="1" applyFont="1" applyBorder="1"/>
    <xf numFmtId="167" fontId="0" fillId="3" borderId="0" xfId="0" applyNumberFormat="1" applyFill="1"/>
    <xf numFmtId="43" fontId="0" fillId="3" borderId="0" xfId="0" applyNumberFormat="1" applyFill="1"/>
    <xf numFmtId="3" fontId="0" fillId="0" borderId="0" xfId="0" applyNumberFormat="1"/>
    <xf numFmtId="4" fontId="1" fillId="2" borderId="11" xfId="0" applyNumberFormat="1" applyFont="1" applyFill="1" applyBorder="1"/>
    <xf numFmtId="0" fontId="1" fillId="4" borderId="0" xfId="0" applyFont="1" applyFill="1"/>
    <xf numFmtId="0" fontId="0" fillId="4" borderId="0" xfId="0" applyFill="1" applyAlignment="1">
      <alignment horizontal="center"/>
    </xf>
    <xf numFmtId="3" fontId="1" fillId="4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</xdr:row>
      <xdr:rowOff>85725</xdr:rowOff>
    </xdr:from>
    <xdr:to>
      <xdr:col>4</xdr:col>
      <xdr:colOff>726440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5D730C-76EB-4AFE-A6D0-2BF4916A5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76225"/>
          <a:ext cx="2412365" cy="723900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</xdr:row>
      <xdr:rowOff>85725</xdr:rowOff>
    </xdr:from>
    <xdr:to>
      <xdr:col>4</xdr:col>
      <xdr:colOff>726440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00891-12AB-4C2A-B3F2-1F2A29A77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76225"/>
          <a:ext cx="2412365" cy="723900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oel="http://schemas.microsoft.com/office/2019/extlst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1</xdr:row>
      <xdr:rowOff>85725</xdr:rowOff>
    </xdr:from>
    <xdr:to>
      <xdr:col>4</xdr:col>
      <xdr:colOff>726440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E2F810-11FC-93A3-5737-10B5074D8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85725"/>
          <a:ext cx="2412365" cy="723900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twoCellAnchor>
  <xdr:oneCellAnchor>
    <xdr:from>
      <xdr:col>9</xdr:col>
      <xdr:colOff>200025</xdr:colOff>
      <xdr:row>1</xdr:row>
      <xdr:rowOff>85725</xdr:rowOff>
    </xdr:from>
    <xdr:ext cx="2412365" cy="723900"/>
    <xdr:pic>
      <xdr:nvPicPr>
        <xdr:cNvPr id="3" name="Picture 2">
          <a:extLst>
            <a:ext uri="{FF2B5EF4-FFF2-40B4-BE49-F238E27FC236}">
              <a16:creationId xmlns:a16="http://schemas.microsoft.com/office/drawing/2014/main" id="{E6CB2E00-F86A-4D52-AE04-1AFB488D2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6400" y="276225"/>
          <a:ext cx="2412365" cy="723900"/>
        </a:xfrm>
        <a:prstGeom prst="rect">
          <a:avLst/>
        </a:prstGeom>
        <a:extLst>
          <a:ext uri="{FAA26D3D-D897-4be2-8F04-BA451C77F1D7}">
            <ma14:placeholderFlag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el="http://schemas.microsoft.com/office/2019/extlst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lc="http://schemas.openxmlformats.org/drawingml/2006/lockedCanvas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75E0C-0CDF-41CE-87AB-D94F7A9514FA}">
  <dimension ref="B4:K45"/>
  <sheetViews>
    <sheetView tabSelected="1" zoomScale="115" zoomScaleNormal="115" workbookViewId="0">
      <selection activeCell="H16" sqref="H16"/>
    </sheetView>
  </sheetViews>
  <sheetFormatPr defaultColWidth="9.140625" defaultRowHeight="15" x14ac:dyDescent="0.25"/>
  <cols>
    <col min="1" max="1" width="8" style="2" customWidth="1"/>
    <col min="2" max="4" width="14.140625" style="2" customWidth="1"/>
    <col min="5" max="5" width="14.140625" style="3" customWidth="1"/>
    <col min="6" max="6" width="14.140625" style="2" customWidth="1"/>
    <col min="7" max="7" width="8" style="2" customWidth="1"/>
    <col min="8" max="8" width="9.140625" style="2" customWidth="1"/>
    <col min="9" max="10" width="11.140625" style="2" bestFit="1" customWidth="1"/>
    <col min="11" max="16384" width="9.140625" style="2"/>
  </cols>
  <sheetData>
    <row r="4" spans="3:5" ht="23.25" x14ac:dyDescent="0.35">
      <c r="D4" s="4"/>
    </row>
    <row r="5" spans="3:5" x14ac:dyDescent="0.25">
      <c r="D5" s="5"/>
    </row>
    <row r="6" spans="3:5" x14ac:dyDescent="0.25">
      <c r="D6" s="5"/>
    </row>
    <row r="7" spans="3:5" x14ac:dyDescent="0.25">
      <c r="D7" s="5"/>
    </row>
    <row r="8" spans="3:5" ht="21" x14ac:dyDescent="0.35">
      <c r="D8" s="21" t="s">
        <v>8</v>
      </c>
    </row>
    <row r="9" spans="3:5" x14ac:dyDescent="0.25">
      <c r="D9" s="6" t="s">
        <v>38</v>
      </c>
    </row>
    <row r="10" spans="3:5" ht="15.75" thickBot="1" x14ac:dyDescent="0.3"/>
    <row r="11" spans="3:5" x14ac:dyDescent="0.25">
      <c r="C11" s="52" t="s">
        <v>1</v>
      </c>
      <c r="D11" s="50"/>
      <c r="E11" s="9">
        <v>1.7500000000000002E-2</v>
      </c>
    </row>
    <row r="12" spans="3:5" x14ac:dyDescent="0.25">
      <c r="C12" s="42" t="s">
        <v>20</v>
      </c>
      <c r="D12" s="43"/>
      <c r="E12" s="47">
        <v>3</v>
      </c>
    </row>
    <row r="13" spans="3:5" x14ac:dyDescent="0.25">
      <c r="C13" s="42" t="s">
        <v>25</v>
      </c>
      <c r="D13" s="43"/>
      <c r="E13" s="44">
        <f>((E14*E12)-E15)/E12</f>
        <v>56.333333333333336</v>
      </c>
    </row>
    <row r="14" spans="3:5" x14ac:dyDescent="0.25">
      <c r="C14" s="42" t="s">
        <v>0</v>
      </c>
      <c r="D14" s="43"/>
      <c r="E14" s="48">
        <v>9750</v>
      </c>
    </row>
    <row r="15" spans="3:5" ht="15.75" thickBot="1" x14ac:dyDescent="0.3">
      <c r="C15" s="53" t="s">
        <v>33</v>
      </c>
      <c r="D15" s="51"/>
      <c r="E15" s="54">
        <f>ROUND(VLOOKUP(E12,B:D,3,0),0)</f>
        <v>29081</v>
      </c>
    </row>
    <row r="17" spans="2:6" x14ac:dyDescent="0.25">
      <c r="D17" s="13" t="s">
        <v>21</v>
      </c>
    </row>
    <row r="18" spans="2:6" x14ac:dyDescent="0.25">
      <c r="D18" s="13" t="s">
        <v>22</v>
      </c>
    </row>
    <row r="19" spans="2:6" x14ac:dyDescent="0.25">
      <c r="B19" s="12"/>
      <c r="C19" s="12"/>
      <c r="D19" s="13" t="s">
        <v>23</v>
      </c>
    </row>
    <row r="21" spans="2:6" s="17" customFormat="1" ht="30" x14ac:dyDescent="0.25">
      <c r="B21" s="14" t="s">
        <v>5</v>
      </c>
      <c r="C21" s="15" t="s">
        <v>3</v>
      </c>
      <c r="D21" s="14" t="s">
        <v>6</v>
      </c>
      <c r="E21" s="16" t="s">
        <v>7</v>
      </c>
      <c r="F21" s="14" t="s">
        <v>2</v>
      </c>
    </row>
    <row r="22" spans="2:6" x14ac:dyDescent="0.25">
      <c r="B22" s="18">
        <v>21</v>
      </c>
      <c r="C22" s="19">
        <f t="shared" ref="C22:C39" si="0">C23/(1+$E$11/3)</f>
        <v>0.89018345665162757</v>
      </c>
      <c r="D22" s="22">
        <f>SUM(C22:$C$42)*$E$14</f>
        <v>193300.50816799325</v>
      </c>
      <c r="E22" s="22">
        <f t="shared" ref="E22:E41" si="1">B22*$E$14-D22</f>
        <v>11449.491832006752</v>
      </c>
      <c r="F22" s="20">
        <f t="shared" ref="F22:F42" si="2">E22/(B22*$E$14)</f>
        <v>5.5919374026895001E-2</v>
      </c>
    </row>
    <row r="23" spans="2:6" x14ac:dyDescent="0.25">
      <c r="B23" s="18">
        <v>20</v>
      </c>
      <c r="C23" s="19">
        <f t="shared" si="0"/>
        <v>0.89537619348209541</v>
      </c>
      <c r="D23" s="22">
        <f>SUM(C23:$C$42)*$E$14</f>
        <v>184621.21946563991</v>
      </c>
      <c r="E23" s="22">
        <f t="shared" si="1"/>
        <v>10378.780534360092</v>
      </c>
      <c r="F23" s="20">
        <f t="shared" si="2"/>
        <v>5.3224515560820987E-2</v>
      </c>
    </row>
    <row r="24" spans="2:6" x14ac:dyDescent="0.25">
      <c r="B24" s="34">
        <v>19</v>
      </c>
      <c r="C24" s="35">
        <f t="shared" si="0"/>
        <v>0.90059922127740766</v>
      </c>
      <c r="D24" s="22">
        <f>SUM(C24:$C$42)*$E$14</f>
        <v>175891.30157918946</v>
      </c>
      <c r="E24" s="36">
        <f t="shared" si="1"/>
        <v>9358.6984208105423</v>
      </c>
      <c r="F24" s="37">
        <f t="shared" si="2"/>
        <v>5.0519289720974588E-2</v>
      </c>
    </row>
    <row r="25" spans="2:6" x14ac:dyDescent="0.25">
      <c r="B25" s="18">
        <v>18</v>
      </c>
      <c r="C25" s="19">
        <f t="shared" si="0"/>
        <v>0.90585271673485923</v>
      </c>
      <c r="D25" s="22">
        <f>SUM(C25:$C$42)*$E$14</f>
        <v>167110.45917173475</v>
      </c>
      <c r="E25" s="22">
        <f t="shared" si="1"/>
        <v>8389.5408282652497</v>
      </c>
      <c r="F25" s="20">
        <f t="shared" si="2"/>
        <v>4.7803651443106839E-2</v>
      </c>
    </row>
    <row r="26" spans="2:6" x14ac:dyDescent="0.25">
      <c r="B26" s="18">
        <v>17</v>
      </c>
      <c r="C26" s="19">
        <f t="shared" si="0"/>
        <v>0.91113685758247931</v>
      </c>
      <c r="D26" s="22">
        <f>SUM(C26:$C$42)*$E$14</f>
        <v>158278.3951835699</v>
      </c>
      <c r="E26" s="22">
        <f t="shared" si="1"/>
        <v>7471.6048164301028</v>
      </c>
      <c r="F26" s="20">
        <f t="shared" si="2"/>
        <v>4.507755545357528E-2</v>
      </c>
    </row>
    <row r="27" spans="2:6" x14ac:dyDescent="0.25">
      <c r="B27" s="18">
        <v>16</v>
      </c>
      <c r="C27" s="19">
        <f t="shared" si="0"/>
        <v>0.91645182258504376</v>
      </c>
      <c r="D27" s="22">
        <f>SUM(C27:$C$42)*$E$14</f>
        <v>149394.81082214072</v>
      </c>
      <c r="E27" s="22">
        <f t="shared" si="1"/>
        <v>6605.1891778592835</v>
      </c>
      <c r="F27" s="20">
        <f t="shared" si="2"/>
        <v>4.234095626832874E-2</v>
      </c>
    </row>
    <row r="28" spans="2:6" x14ac:dyDescent="0.25">
      <c r="B28" s="18">
        <v>15</v>
      </c>
      <c r="C28" s="19">
        <f t="shared" si="0"/>
        <v>0.9217977915501232</v>
      </c>
      <c r="D28" s="22">
        <f>SUM(C28:$C$42)*$E$14</f>
        <v>140459.40555193654</v>
      </c>
      <c r="E28" s="22">
        <f t="shared" si="1"/>
        <v>5790.5944480634644</v>
      </c>
      <c r="F28" s="20">
        <f t="shared" si="2"/>
        <v>3.9593808191886938E-2</v>
      </c>
    </row>
    <row r="29" spans="2:6" x14ac:dyDescent="0.25">
      <c r="B29" s="18">
        <v>14</v>
      </c>
      <c r="C29" s="19">
        <f t="shared" si="0"/>
        <v>0.92717494533416556</v>
      </c>
      <c r="D29" s="22">
        <f>SUM(C29:$C$42)*$E$14</f>
        <v>131471.87708432283</v>
      </c>
      <c r="E29" s="22">
        <f t="shared" si="1"/>
        <v>5028.1229156771733</v>
      </c>
      <c r="F29" s="20">
        <f t="shared" si="2"/>
        <v>3.6836065316316287E-2</v>
      </c>
    </row>
    <row r="30" spans="2:6" x14ac:dyDescent="0.25">
      <c r="B30" s="18">
        <v>13</v>
      </c>
      <c r="C30" s="19">
        <f t="shared" si="0"/>
        <v>0.93258346584861485</v>
      </c>
      <c r="D30" s="22">
        <f>SUM(C30:$C$42)*$E$14</f>
        <v>122431.92136731472</v>
      </c>
      <c r="E30" s="22">
        <f t="shared" si="1"/>
        <v>4318.0786326852831</v>
      </c>
      <c r="F30" s="20">
        <f t="shared" si="2"/>
        <v>3.4067681520199469E-2</v>
      </c>
    </row>
    <row r="31" spans="2:6" x14ac:dyDescent="0.25">
      <c r="B31" s="18">
        <v>12</v>
      </c>
      <c r="C31" s="19">
        <f t="shared" si="0"/>
        <v>0.93802353606606514</v>
      </c>
      <c r="D31" s="22">
        <f>SUM(C31:$C$42)*$E$14</f>
        <v>113339.23257529071</v>
      </c>
      <c r="E31" s="22">
        <f t="shared" si="1"/>
        <v>3660.7674247092946</v>
      </c>
      <c r="F31" s="20">
        <f t="shared" si="2"/>
        <v>3.1288610467600807E-2</v>
      </c>
    </row>
    <row r="32" spans="2:6" x14ac:dyDescent="0.25">
      <c r="B32" s="18">
        <v>11</v>
      </c>
      <c r="C32" s="19">
        <f t="shared" si="0"/>
        <v>0.94349534002645052</v>
      </c>
      <c r="D32" s="22">
        <f>SUM(C32:$C$42)*$E$14</f>
        <v>104193.50309864657</v>
      </c>
      <c r="E32" s="22">
        <f t="shared" si="1"/>
        <v>3056.4969013534283</v>
      </c>
      <c r="F32" s="20">
        <f t="shared" si="2"/>
        <v>2.8498805607024971E-2</v>
      </c>
    </row>
    <row r="33" spans="2:11" customFormat="1" x14ac:dyDescent="0.25">
      <c r="B33" s="34">
        <v>10</v>
      </c>
      <c r="C33" s="35">
        <f t="shared" si="0"/>
        <v>0.94899906284327151</v>
      </c>
      <c r="D33" s="22">
        <f>SUM(C33:$C$42)*$E$14</f>
        <v>94994.42353338869</v>
      </c>
      <c r="E33" s="36">
        <f t="shared" si="1"/>
        <v>2505.57646661131</v>
      </c>
      <c r="F33" s="37">
        <f t="shared" si="2"/>
        <v>2.5698220170372411E-2</v>
      </c>
    </row>
    <row r="34" spans="2:11" x14ac:dyDescent="0.25">
      <c r="B34" s="18">
        <v>9</v>
      </c>
      <c r="C34" s="19">
        <f t="shared" si="0"/>
        <v>0.95453489070985731</v>
      </c>
      <c r="D34" s="22">
        <f>SUM(C34:$C$42)*$E$14</f>
        <v>85741.682670666793</v>
      </c>
      <c r="E34" s="22">
        <f t="shared" si="1"/>
        <v>2008.3173293332075</v>
      </c>
      <c r="F34" s="20">
        <f t="shared" si="2"/>
        <v>2.2886807171888405E-2</v>
      </c>
      <c r="I34" s="41"/>
      <c r="J34" s="56"/>
    </row>
    <row r="35" spans="2:11" x14ac:dyDescent="0.25">
      <c r="B35" s="18">
        <v>8</v>
      </c>
      <c r="C35" s="19">
        <f t="shared" si="0"/>
        <v>0.96010301090566486</v>
      </c>
      <c r="D35" s="22">
        <f>SUM(C35:$C$42)*$E$14</f>
        <v>76434.967486245674</v>
      </c>
      <c r="E35" s="22">
        <f t="shared" si="1"/>
        <v>1565.0325137543259</v>
      </c>
      <c r="F35" s="20">
        <f t="shared" si="2"/>
        <v>2.0064519407106744E-2</v>
      </c>
      <c r="I35" s="41"/>
      <c r="J35" s="56"/>
    </row>
    <row r="36" spans="2:11" x14ac:dyDescent="0.25">
      <c r="B36" s="18">
        <v>7</v>
      </c>
      <c r="C36" s="19">
        <f t="shared" si="0"/>
        <v>0.96570361180261455</v>
      </c>
      <c r="D36" s="22">
        <f>SUM(C36:$C$42)*$E$14</f>
        <v>67073.963129915443</v>
      </c>
      <c r="E36" s="22">
        <f t="shared" si="1"/>
        <v>1176.0368700845574</v>
      </c>
      <c r="F36" s="20">
        <f t="shared" si="2"/>
        <v>1.7231309451788388E-2</v>
      </c>
      <c r="H36" s="41"/>
      <c r="I36" s="41"/>
      <c r="J36" s="56"/>
    </row>
    <row r="37" spans="2:11" x14ac:dyDescent="0.25">
      <c r="B37" s="34">
        <v>6</v>
      </c>
      <c r="C37" s="35">
        <f t="shared" si="0"/>
        <v>0.97133688287146314</v>
      </c>
      <c r="D37" s="22">
        <f>SUM(C37:$C$42)*$E$14</f>
        <v>57658.352914839961</v>
      </c>
      <c r="E37" s="36">
        <f t="shared" si="1"/>
        <v>841.64708516003884</v>
      </c>
      <c r="F37" s="37">
        <f t="shared" si="2"/>
        <v>1.4387129660855365E-2</v>
      </c>
      <c r="H37" s="41"/>
      <c r="I37" s="41"/>
      <c r="J37" s="56"/>
    </row>
    <row r="38" spans="2:11" x14ac:dyDescent="0.25">
      <c r="B38" s="18">
        <v>5</v>
      </c>
      <c r="C38" s="19">
        <f t="shared" si="0"/>
        <v>0.97700301468821338</v>
      </c>
      <c r="D38" s="22">
        <f>SUM(C38:$C$42)*$E$14</f>
        <v>48187.818306843197</v>
      </c>
      <c r="E38" s="22">
        <f t="shared" si="1"/>
        <v>562.18169315680279</v>
      </c>
      <c r="F38" s="20">
        <f t="shared" si="2"/>
        <v>1.1531932167319032E-2</v>
      </c>
      <c r="H38" s="41"/>
      <c r="I38" s="41"/>
      <c r="J38" s="56"/>
    </row>
    <row r="39" spans="2:11" x14ac:dyDescent="0.25">
      <c r="B39" s="18">
        <v>4</v>
      </c>
      <c r="C39" s="19">
        <f t="shared" si="0"/>
        <v>0.98270219894056132</v>
      </c>
      <c r="D39" s="22">
        <f>SUM(C39:$C$42)*$E$14</f>
        <v>38662.038913633114</v>
      </c>
      <c r="E39" s="22">
        <f t="shared" si="1"/>
        <v>337.96108636688587</v>
      </c>
      <c r="F39" s="20">
        <f t="shared" si="2"/>
        <v>8.6656688812022011E-3</v>
      </c>
      <c r="H39" s="41"/>
      <c r="I39" s="41"/>
      <c r="J39" s="56"/>
    </row>
    <row r="40" spans="2:11" x14ac:dyDescent="0.25">
      <c r="B40" s="18">
        <v>3</v>
      </c>
      <c r="C40" s="19">
        <f>C41/(1+$E$11/3)</f>
        <v>0.98843462843438123</v>
      </c>
      <c r="D40" s="22">
        <f>SUM(C40:$C$42)*$E$14</f>
        <v>29080.692473962641</v>
      </c>
      <c r="E40" s="22">
        <f t="shared" si="1"/>
        <v>169.30752603735891</v>
      </c>
      <c r="F40" s="20">
        <f t="shared" si="2"/>
        <v>5.7882914884567153E-3</v>
      </c>
      <c r="H40" s="41"/>
      <c r="I40" s="41"/>
      <c r="J40" s="56"/>
    </row>
    <row r="41" spans="2:11" x14ac:dyDescent="0.25">
      <c r="B41" s="18">
        <v>2</v>
      </c>
      <c r="C41" s="19">
        <f>C42/(1+$E$11/3)</f>
        <v>0.99420049710024849</v>
      </c>
      <c r="D41" s="22">
        <f>SUM(C41:$C$42)*$E$14</f>
        <v>19443.454846727422</v>
      </c>
      <c r="E41" s="22">
        <f t="shared" si="1"/>
        <v>56.545153272578318</v>
      </c>
      <c r="F41" s="20">
        <f t="shared" si="2"/>
        <v>2.899751449875811E-3</v>
      </c>
      <c r="H41" s="41"/>
      <c r="I41" s="41"/>
      <c r="J41" s="56"/>
    </row>
    <row r="42" spans="2:11" x14ac:dyDescent="0.25">
      <c r="B42" s="18">
        <v>1</v>
      </c>
      <c r="C42" s="19">
        <v>1</v>
      </c>
      <c r="D42" s="22">
        <f>$E$14</f>
        <v>9750</v>
      </c>
      <c r="E42" s="22">
        <f>B42*$E$14-D42</f>
        <v>0</v>
      </c>
      <c r="F42" s="20">
        <f t="shared" si="2"/>
        <v>0</v>
      </c>
      <c r="I42" s="41"/>
    </row>
    <row r="43" spans="2:11" x14ac:dyDescent="0.25">
      <c r="I43" s="56"/>
      <c r="J43" s="56"/>
      <c r="K43" s="56"/>
    </row>
    <row r="44" spans="2:11" x14ac:dyDescent="0.25">
      <c r="J44" s="41"/>
    </row>
    <row r="45" spans="2:11" x14ac:dyDescent="0.25">
      <c r="J45" s="4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EF7DB-FE89-48B1-AC9F-182153A470DE}">
  <dimension ref="B4:V46"/>
  <sheetViews>
    <sheetView topLeftCell="A4" zoomScaleNormal="100" workbookViewId="0">
      <selection activeCell="E17" sqref="E17"/>
    </sheetView>
  </sheetViews>
  <sheetFormatPr defaultColWidth="9.140625" defaultRowHeight="15" x14ac:dyDescent="0.25"/>
  <cols>
    <col min="1" max="1" width="8" style="2" customWidth="1"/>
    <col min="2" max="4" width="14.140625" style="2" customWidth="1"/>
    <col min="5" max="5" width="14.140625" style="3" customWidth="1"/>
    <col min="6" max="6" width="14.140625" style="2" customWidth="1"/>
    <col min="7" max="7" width="8" style="2" customWidth="1"/>
    <col min="8" max="8" width="11.5703125" style="2" bestFit="1" customWidth="1"/>
    <col min="9" max="9" width="10.5703125" style="2" bestFit="1" customWidth="1"/>
    <col min="10" max="11" width="9.140625" style="2"/>
    <col min="12" max="12" width="11.5703125" style="2" bestFit="1" customWidth="1"/>
    <col min="13" max="14" width="9.140625" style="2"/>
    <col min="15" max="15" width="10.5703125" style="2" bestFit="1" customWidth="1"/>
    <col min="16" max="18" width="9.140625" style="2"/>
    <col min="19" max="19" width="11.5703125" style="2" bestFit="1" customWidth="1"/>
    <col min="20" max="20" width="9.140625" style="2"/>
    <col min="21" max="21" width="11.5703125" style="2" bestFit="1" customWidth="1"/>
    <col min="22" max="22" width="10.5703125" style="2" bestFit="1" customWidth="1"/>
    <col min="23" max="16384" width="9.140625" style="2"/>
  </cols>
  <sheetData>
    <row r="4" spans="3:6" ht="23.25" x14ac:dyDescent="0.35">
      <c r="D4" s="4"/>
    </row>
    <row r="5" spans="3:6" x14ac:dyDescent="0.25">
      <c r="D5" s="5"/>
    </row>
    <row r="6" spans="3:6" x14ac:dyDescent="0.25">
      <c r="D6" s="5"/>
    </row>
    <row r="7" spans="3:6" x14ac:dyDescent="0.25">
      <c r="D7" s="5"/>
    </row>
    <row r="8" spans="3:6" ht="21" x14ac:dyDescent="0.35">
      <c r="D8" s="21" t="s">
        <v>8</v>
      </c>
    </row>
    <row r="9" spans="3:6" x14ac:dyDescent="0.25">
      <c r="D9" s="6" t="s">
        <v>38</v>
      </c>
    </row>
    <row r="10" spans="3:6" ht="15.75" thickBot="1" x14ac:dyDescent="0.3"/>
    <row r="11" spans="3:6" x14ac:dyDescent="0.25">
      <c r="C11" s="52" t="s">
        <v>1</v>
      </c>
      <c r="D11" s="50"/>
      <c r="E11" s="9">
        <v>1.7500000000000002E-2</v>
      </c>
    </row>
    <row r="12" spans="3:6" x14ac:dyDescent="0.25">
      <c r="C12" s="42" t="s">
        <v>20</v>
      </c>
      <c r="D12" s="43"/>
      <c r="E12" s="47">
        <v>3</v>
      </c>
    </row>
    <row r="13" spans="3:6" x14ac:dyDescent="0.25">
      <c r="C13" s="42" t="s">
        <v>35</v>
      </c>
      <c r="D13" s="43"/>
      <c r="E13" s="58">
        <f>(E15*E12)-E16</f>
        <v>169</v>
      </c>
    </row>
    <row r="14" spans="3:6" x14ac:dyDescent="0.25">
      <c r="C14" s="42" t="s">
        <v>25</v>
      </c>
      <c r="D14" s="43"/>
      <c r="E14" s="44">
        <f>E13/E12</f>
        <v>56.333333333333336</v>
      </c>
    </row>
    <row r="15" spans="3:6" x14ac:dyDescent="0.25">
      <c r="C15" s="42" t="s">
        <v>0</v>
      </c>
      <c r="D15" s="43"/>
      <c r="E15" s="45">
        <f>ROUNDDOWN(E16/(SUMIFS(C:C,B:B,"&lt;"&amp;SUM(E12:E12,1))),0)</f>
        <v>9750</v>
      </c>
    </row>
    <row r="16" spans="3:6" ht="15.75" thickBot="1" x14ac:dyDescent="0.3">
      <c r="C16" s="53" t="s">
        <v>33</v>
      </c>
      <c r="D16" s="51"/>
      <c r="E16" s="1">
        <v>29081</v>
      </c>
      <c r="F16" s="46"/>
    </row>
    <row r="18" spans="2:6" x14ac:dyDescent="0.25">
      <c r="B18" s="12"/>
      <c r="C18" s="12"/>
      <c r="D18" s="13" t="s">
        <v>21</v>
      </c>
    </row>
    <row r="19" spans="2:6" x14ac:dyDescent="0.25">
      <c r="B19" s="12"/>
      <c r="C19" s="12"/>
      <c r="D19" s="13" t="s">
        <v>22</v>
      </c>
    </row>
    <row r="20" spans="2:6" x14ac:dyDescent="0.25">
      <c r="B20" s="12"/>
      <c r="C20" s="12"/>
      <c r="D20" s="13" t="s">
        <v>34</v>
      </c>
    </row>
    <row r="22" spans="2:6" s="17" customFormat="1" ht="30" x14ac:dyDescent="0.25">
      <c r="B22" s="14" t="s">
        <v>5</v>
      </c>
      <c r="C22" s="15" t="s">
        <v>3</v>
      </c>
      <c r="D22" s="14" t="s">
        <v>6</v>
      </c>
      <c r="E22" s="16" t="s">
        <v>7</v>
      </c>
      <c r="F22" s="14" t="s">
        <v>2</v>
      </c>
    </row>
    <row r="23" spans="2:6" x14ac:dyDescent="0.25">
      <c r="B23" s="18">
        <v>21</v>
      </c>
      <c r="C23" s="19">
        <f t="shared" ref="C23:C41" si="0">C24/(1+$E$11/3)</f>
        <v>0.89018345665162757</v>
      </c>
      <c r="D23" s="22">
        <f t="shared" ref="D23:D42" si="1">SUM(D24,C23*$E$15)</f>
        <v>193300.50816799331</v>
      </c>
      <c r="E23" s="22">
        <f t="shared" ref="E23:E43" si="2">B23*$E$15-D23</f>
        <v>11449.491832006694</v>
      </c>
      <c r="F23" s="20">
        <f>E23/(B23*$E$15)</f>
        <v>5.5919374026894716E-2</v>
      </c>
    </row>
    <row r="24" spans="2:6" x14ac:dyDescent="0.25">
      <c r="B24" s="18">
        <v>20</v>
      </c>
      <c r="C24" s="19">
        <f t="shared" si="0"/>
        <v>0.89537619348209541</v>
      </c>
      <c r="D24" s="22">
        <f t="shared" si="1"/>
        <v>184621.21946563994</v>
      </c>
      <c r="E24" s="22">
        <f t="shared" si="2"/>
        <v>10378.780534360063</v>
      </c>
      <c r="F24" s="20">
        <f t="shared" ref="F24:F43" si="3">E24/(B24*$E$15)</f>
        <v>5.3224515560820834E-2</v>
      </c>
    </row>
    <row r="25" spans="2:6" x14ac:dyDescent="0.25">
      <c r="B25" s="34">
        <v>19</v>
      </c>
      <c r="C25" s="35">
        <f t="shared" si="0"/>
        <v>0.90059922127740766</v>
      </c>
      <c r="D25" s="36">
        <f t="shared" si="1"/>
        <v>175891.30157918952</v>
      </c>
      <c r="E25" s="36">
        <f t="shared" si="2"/>
        <v>9358.6984208104841</v>
      </c>
      <c r="F25" s="20">
        <f t="shared" si="3"/>
        <v>5.0519289720974275E-2</v>
      </c>
    </row>
    <row r="26" spans="2:6" x14ac:dyDescent="0.25">
      <c r="B26" s="18">
        <v>18</v>
      </c>
      <c r="C26" s="19">
        <f t="shared" si="0"/>
        <v>0.90585271673485923</v>
      </c>
      <c r="D26" s="22">
        <f t="shared" si="1"/>
        <v>167110.45917173478</v>
      </c>
      <c r="E26" s="22">
        <f t="shared" si="2"/>
        <v>8389.5408282652206</v>
      </c>
      <c r="F26" s="20">
        <f t="shared" si="3"/>
        <v>4.7803651443106672E-2</v>
      </c>
    </row>
    <row r="27" spans="2:6" x14ac:dyDescent="0.25">
      <c r="B27" s="18">
        <v>17</v>
      </c>
      <c r="C27" s="19">
        <f t="shared" si="0"/>
        <v>0.91113685758247931</v>
      </c>
      <c r="D27" s="22">
        <f t="shared" si="1"/>
        <v>158278.3951835699</v>
      </c>
      <c r="E27" s="22">
        <f t="shared" si="2"/>
        <v>7471.6048164301028</v>
      </c>
      <c r="F27" s="20">
        <f t="shared" si="3"/>
        <v>4.507755545357528E-2</v>
      </c>
    </row>
    <row r="28" spans="2:6" x14ac:dyDescent="0.25">
      <c r="B28" s="18">
        <v>16</v>
      </c>
      <c r="C28" s="19">
        <f t="shared" si="0"/>
        <v>0.91645182258504376</v>
      </c>
      <c r="D28" s="22">
        <f t="shared" si="1"/>
        <v>149394.81082214072</v>
      </c>
      <c r="E28" s="22">
        <f t="shared" si="2"/>
        <v>6605.1891778592835</v>
      </c>
      <c r="F28" s="20">
        <f t="shared" si="3"/>
        <v>4.234095626832874E-2</v>
      </c>
    </row>
    <row r="29" spans="2:6" x14ac:dyDescent="0.25">
      <c r="B29" s="18">
        <v>15</v>
      </c>
      <c r="C29" s="19">
        <f t="shared" si="0"/>
        <v>0.9217977915501232</v>
      </c>
      <c r="D29" s="22">
        <f t="shared" si="1"/>
        <v>140459.40555193654</v>
      </c>
      <c r="E29" s="22">
        <f t="shared" si="2"/>
        <v>5790.5944480634644</v>
      </c>
      <c r="F29" s="20">
        <f t="shared" si="3"/>
        <v>3.9593808191886938E-2</v>
      </c>
    </row>
    <row r="30" spans="2:6" x14ac:dyDescent="0.25">
      <c r="B30" s="18">
        <v>14</v>
      </c>
      <c r="C30" s="19">
        <f t="shared" si="0"/>
        <v>0.92717494533416556</v>
      </c>
      <c r="D30" s="22">
        <f t="shared" si="1"/>
        <v>131471.87708432283</v>
      </c>
      <c r="E30" s="22">
        <f t="shared" si="2"/>
        <v>5028.1229156771733</v>
      </c>
      <c r="F30" s="20">
        <f t="shared" si="3"/>
        <v>3.6836065316316287E-2</v>
      </c>
    </row>
    <row r="31" spans="2:6" x14ac:dyDescent="0.25">
      <c r="B31" s="18">
        <v>13</v>
      </c>
      <c r="C31" s="19">
        <f t="shared" si="0"/>
        <v>0.93258346584861485</v>
      </c>
      <c r="D31" s="22">
        <f t="shared" si="1"/>
        <v>122431.92136731472</v>
      </c>
      <c r="E31" s="22">
        <f t="shared" si="2"/>
        <v>4318.0786326852831</v>
      </c>
      <c r="F31" s="20">
        <f t="shared" si="3"/>
        <v>3.4067681520199469E-2</v>
      </c>
    </row>
    <row r="32" spans="2:6" x14ac:dyDescent="0.25">
      <c r="B32" s="18">
        <v>12</v>
      </c>
      <c r="C32" s="19">
        <f t="shared" si="0"/>
        <v>0.93802353606606514</v>
      </c>
      <c r="D32" s="22">
        <f t="shared" si="1"/>
        <v>113339.23257529072</v>
      </c>
      <c r="E32" s="22">
        <f t="shared" si="2"/>
        <v>3660.76742470928</v>
      </c>
      <c r="F32" s="20">
        <f t="shared" si="3"/>
        <v>3.1288610467600682E-2</v>
      </c>
    </row>
    <row r="33" spans="2:22" x14ac:dyDescent="0.25">
      <c r="B33" s="18">
        <v>11</v>
      </c>
      <c r="C33" s="19">
        <f t="shared" si="0"/>
        <v>0.94349534002645052</v>
      </c>
      <c r="D33" s="22">
        <f t="shared" si="1"/>
        <v>104193.50309864659</v>
      </c>
      <c r="E33" s="22">
        <f t="shared" si="2"/>
        <v>3056.4969013534137</v>
      </c>
      <c r="F33" s="20">
        <f t="shared" si="3"/>
        <v>2.8498805607024835E-2</v>
      </c>
    </row>
    <row r="34" spans="2:22" x14ac:dyDescent="0.25">
      <c r="B34" s="34">
        <v>10</v>
      </c>
      <c r="C34" s="35">
        <f t="shared" si="0"/>
        <v>0.94899906284327151</v>
      </c>
      <c r="D34" s="36">
        <f t="shared" si="1"/>
        <v>94994.42353338869</v>
      </c>
      <c r="E34" s="36">
        <f t="shared" si="2"/>
        <v>2505.57646661131</v>
      </c>
      <c r="F34" s="20">
        <f t="shared" si="3"/>
        <v>2.5698220170372411E-2</v>
      </c>
    </row>
    <row r="35" spans="2:22" x14ac:dyDescent="0.25">
      <c r="B35" s="18">
        <v>9</v>
      </c>
      <c r="C35" s="19">
        <f t="shared" si="0"/>
        <v>0.95453489070985731</v>
      </c>
      <c r="D35" s="22">
        <f t="shared" si="1"/>
        <v>85741.682670666793</v>
      </c>
      <c r="E35" s="22">
        <f t="shared" si="2"/>
        <v>2008.3173293332075</v>
      </c>
      <c r="F35" s="20">
        <f t="shared" si="3"/>
        <v>2.2886807171888405E-2</v>
      </c>
      <c r="H35" s="55"/>
    </row>
    <row r="36" spans="2:22" x14ac:dyDescent="0.25">
      <c r="B36" s="18">
        <v>8</v>
      </c>
      <c r="C36" s="19">
        <f t="shared" si="0"/>
        <v>0.96010301090566486</v>
      </c>
      <c r="D36" s="22">
        <f t="shared" si="1"/>
        <v>76434.967486245689</v>
      </c>
      <c r="E36" s="22">
        <f t="shared" si="2"/>
        <v>1565.0325137543114</v>
      </c>
      <c r="F36" s="20">
        <f t="shared" si="3"/>
        <v>2.0064519407106556E-2</v>
      </c>
      <c r="H36" s="55"/>
    </row>
    <row r="37" spans="2:22" x14ac:dyDescent="0.25">
      <c r="B37" s="18">
        <v>7</v>
      </c>
      <c r="C37" s="19">
        <f t="shared" si="0"/>
        <v>0.96570361180261455</v>
      </c>
      <c r="D37" s="22">
        <f t="shared" si="1"/>
        <v>67073.963129915457</v>
      </c>
      <c r="E37" s="22">
        <f t="shared" si="2"/>
        <v>1176.0368700845429</v>
      </c>
      <c r="F37" s="20">
        <f t="shared" si="3"/>
        <v>1.7231309451788173E-2</v>
      </c>
      <c r="H37" s="55"/>
    </row>
    <row r="38" spans="2:22" x14ac:dyDescent="0.25">
      <c r="B38" s="34">
        <v>6</v>
      </c>
      <c r="C38" s="35">
        <f t="shared" si="0"/>
        <v>0.97133688287146314</v>
      </c>
      <c r="D38" s="36">
        <f t="shared" si="1"/>
        <v>57658.352914839961</v>
      </c>
      <c r="E38" s="36">
        <f t="shared" si="2"/>
        <v>841.64708516003884</v>
      </c>
      <c r="F38" s="20">
        <f t="shared" si="3"/>
        <v>1.4387129660855365E-2</v>
      </c>
      <c r="H38" s="55"/>
      <c r="L38" s="55"/>
      <c r="O38" s="55"/>
      <c r="S38" s="55"/>
      <c r="U38" s="55"/>
      <c r="V38" s="56"/>
    </row>
    <row r="39" spans="2:22" x14ac:dyDescent="0.25">
      <c r="B39" s="18">
        <v>5</v>
      </c>
      <c r="C39" s="19">
        <f t="shared" si="0"/>
        <v>0.97700301468821338</v>
      </c>
      <c r="D39" s="22">
        <f t="shared" si="1"/>
        <v>48187.818306843197</v>
      </c>
      <c r="E39" s="22">
        <f t="shared" si="2"/>
        <v>562.18169315680279</v>
      </c>
      <c r="F39" s="20">
        <f t="shared" si="3"/>
        <v>1.1531932167319032E-2</v>
      </c>
      <c r="H39" s="55"/>
      <c r="L39" s="55"/>
      <c r="O39" s="55"/>
      <c r="S39" s="55"/>
      <c r="U39" s="55"/>
      <c r="V39" s="56"/>
    </row>
    <row r="40" spans="2:22" x14ac:dyDescent="0.25">
      <c r="B40" s="18">
        <v>4</v>
      </c>
      <c r="C40" s="19">
        <f t="shared" si="0"/>
        <v>0.98270219894056132</v>
      </c>
      <c r="D40" s="22">
        <f t="shared" si="1"/>
        <v>38662.038913633114</v>
      </c>
      <c r="E40" s="22">
        <f t="shared" si="2"/>
        <v>337.96108636688587</v>
      </c>
      <c r="F40" s="20">
        <f t="shared" si="3"/>
        <v>8.6656688812022011E-3</v>
      </c>
      <c r="H40" s="55"/>
      <c r="L40" s="55"/>
      <c r="O40" s="55"/>
      <c r="S40" s="55"/>
      <c r="U40" s="55"/>
      <c r="V40" s="56"/>
    </row>
    <row r="41" spans="2:22" x14ac:dyDescent="0.25">
      <c r="B41" s="18">
        <v>3</v>
      </c>
      <c r="C41" s="19">
        <f t="shared" si="0"/>
        <v>0.98843462843438123</v>
      </c>
      <c r="D41" s="22">
        <f t="shared" si="1"/>
        <v>29080.692473962641</v>
      </c>
      <c r="E41" s="22">
        <f t="shared" si="2"/>
        <v>169.30752603735891</v>
      </c>
      <c r="F41" s="20">
        <f t="shared" si="3"/>
        <v>5.7882914884567153E-3</v>
      </c>
      <c r="H41" s="55"/>
      <c r="I41" s="55"/>
      <c r="J41" s="56"/>
      <c r="L41" s="55"/>
      <c r="O41" s="55"/>
      <c r="S41" s="55"/>
      <c r="U41" s="55"/>
      <c r="V41" s="56"/>
    </row>
    <row r="42" spans="2:22" x14ac:dyDescent="0.25">
      <c r="B42" s="18">
        <v>2</v>
      </c>
      <c r="C42" s="19">
        <f>C43/(1+$E$11/3)</f>
        <v>0.99420049710024849</v>
      </c>
      <c r="D42" s="22">
        <f t="shared" si="1"/>
        <v>19443.454846727422</v>
      </c>
      <c r="E42" s="22">
        <f t="shared" si="2"/>
        <v>56.545153272578318</v>
      </c>
      <c r="F42" s="20">
        <f t="shared" si="3"/>
        <v>2.899751449875811E-3</v>
      </c>
      <c r="H42" s="55"/>
      <c r="L42" s="55"/>
      <c r="O42" s="55"/>
      <c r="S42" s="55"/>
      <c r="U42" s="55"/>
      <c r="V42" s="56"/>
    </row>
    <row r="43" spans="2:22" x14ac:dyDescent="0.25">
      <c r="B43" s="18">
        <v>1</v>
      </c>
      <c r="C43" s="19">
        <v>1</v>
      </c>
      <c r="D43" s="22">
        <f>$E$15</f>
        <v>9750</v>
      </c>
      <c r="E43" s="22">
        <f t="shared" si="2"/>
        <v>0</v>
      </c>
      <c r="F43" s="20">
        <f t="shared" si="3"/>
        <v>0</v>
      </c>
      <c r="H43" s="55"/>
      <c r="L43" s="55"/>
      <c r="O43" s="55"/>
      <c r="S43" s="55"/>
      <c r="U43" s="55"/>
      <c r="V43" s="56"/>
    </row>
    <row r="44" spans="2:22" x14ac:dyDescent="0.25">
      <c r="L44" s="55"/>
      <c r="S44" s="55"/>
    </row>
    <row r="46" spans="2:22" x14ac:dyDescent="0.25">
      <c r="L46" s="55"/>
      <c r="S46" s="55"/>
      <c r="V46" s="5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80EB-C03A-4717-B9DA-A4141D556455}">
  <dimension ref="A1:M27"/>
  <sheetViews>
    <sheetView zoomScaleNormal="100" workbookViewId="0">
      <selection activeCell="K14" sqref="K14"/>
    </sheetView>
  </sheetViews>
  <sheetFormatPr defaultRowHeight="15" x14ac:dyDescent="0.25"/>
  <cols>
    <col min="1" max="1" width="20.42578125" style="23" bestFit="1" customWidth="1"/>
    <col min="2" max="2" width="10.42578125" style="27" bestFit="1" customWidth="1"/>
    <col min="3" max="3" width="12.5703125" style="27" customWidth="1"/>
    <col min="4" max="4" width="11.7109375" style="27" bestFit="1" customWidth="1"/>
    <col min="5" max="5" width="12.140625" style="27" bestFit="1" customWidth="1"/>
    <col min="6" max="6" width="9.85546875" style="27" bestFit="1" customWidth="1"/>
  </cols>
  <sheetData>
    <row r="1" spans="1:13" s="25" customFormat="1" ht="45" x14ac:dyDescent="0.25">
      <c r="B1" s="26" t="s">
        <v>10</v>
      </c>
      <c r="C1" s="26" t="s">
        <v>19</v>
      </c>
      <c r="D1" s="26" t="s">
        <v>29</v>
      </c>
      <c r="E1" s="26" t="s">
        <v>16</v>
      </c>
      <c r="F1" s="26" t="s">
        <v>24</v>
      </c>
    </row>
    <row r="2" spans="1:13" x14ac:dyDescent="0.25">
      <c r="A2" s="23" t="s">
        <v>11</v>
      </c>
      <c r="B2" s="27">
        <v>3</v>
      </c>
      <c r="C2" s="28">
        <v>0</v>
      </c>
      <c r="D2" s="31">
        <f>9750*(1-C2)</f>
        <v>9750</v>
      </c>
      <c r="E2" s="31">
        <f t="shared" ref="E2:E4" si="0">(B2*(D2))</f>
        <v>29250</v>
      </c>
      <c r="F2" s="28" t="s">
        <v>39</v>
      </c>
    </row>
    <row r="3" spans="1:13" x14ac:dyDescent="0.25">
      <c r="A3" s="23" t="s">
        <v>12</v>
      </c>
      <c r="B3" s="27">
        <v>0</v>
      </c>
      <c r="C3" s="28">
        <f t="shared" ref="C3:C7" si="1">C2</f>
        <v>0</v>
      </c>
      <c r="D3" s="31">
        <f>ROUND(D2*(1+$F3),0)</f>
        <v>10238</v>
      </c>
      <c r="E3" s="31">
        <f t="shared" si="0"/>
        <v>0</v>
      </c>
      <c r="F3" s="28">
        <v>0.05</v>
      </c>
    </row>
    <row r="4" spans="1:13" x14ac:dyDescent="0.25">
      <c r="A4" s="23" t="s">
        <v>13</v>
      </c>
      <c r="B4" s="27">
        <v>0</v>
      </c>
      <c r="C4" s="28">
        <f t="shared" si="1"/>
        <v>0</v>
      </c>
      <c r="D4" s="31">
        <f>ROUND(D3*(1+$F4),0)</f>
        <v>10750</v>
      </c>
      <c r="E4" s="31">
        <f t="shared" si="0"/>
        <v>0</v>
      </c>
      <c r="F4" s="28">
        <v>0.05</v>
      </c>
    </row>
    <row r="5" spans="1:13" x14ac:dyDescent="0.25">
      <c r="A5" s="23" t="s">
        <v>14</v>
      </c>
      <c r="B5" s="27">
        <v>0</v>
      </c>
      <c r="C5" s="28">
        <f t="shared" si="1"/>
        <v>0</v>
      </c>
      <c r="D5" s="31">
        <f t="shared" ref="D5:D7" si="2">ROUND(D4*(1+$F5),0)</f>
        <v>11288</v>
      </c>
      <c r="E5" s="31">
        <f t="shared" ref="E5:E7" si="3">(B5*(D5))</f>
        <v>0</v>
      </c>
      <c r="F5" s="28">
        <v>0.05</v>
      </c>
    </row>
    <row r="6" spans="1:13" x14ac:dyDescent="0.25">
      <c r="A6" s="23" t="s">
        <v>17</v>
      </c>
      <c r="B6" s="27">
        <v>0</v>
      </c>
      <c r="C6" s="28">
        <f t="shared" si="1"/>
        <v>0</v>
      </c>
      <c r="D6" s="31">
        <f t="shared" si="2"/>
        <v>11852</v>
      </c>
      <c r="E6" s="31">
        <f t="shared" si="3"/>
        <v>0</v>
      </c>
      <c r="F6" s="28">
        <v>0.05</v>
      </c>
      <c r="M6" s="24"/>
    </row>
    <row r="7" spans="1:13" x14ac:dyDescent="0.25">
      <c r="A7" s="23" t="s">
        <v>40</v>
      </c>
      <c r="B7" s="27">
        <v>0</v>
      </c>
      <c r="C7" s="28">
        <f t="shared" si="1"/>
        <v>0</v>
      </c>
      <c r="D7" s="31">
        <f t="shared" si="2"/>
        <v>12445</v>
      </c>
      <c r="E7" s="31">
        <f t="shared" si="3"/>
        <v>0</v>
      </c>
      <c r="F7" s="28">
        <v>0.05</v>
      </c>
      <c r="M7" s="24"/>
    </row>
    <row r="8" spans="1:13" x14ac:dyDescent="0.25">
      <c r="D8" s="31"/>
      <c r="E8" s="31"/>
    </row>
    <row r="9" spans="1:13" s="23" customFormat="1" x14ac:dyDescent="0.25">
      <c r="A9" s="23" t="s">
        <v>15</v>
      </c>
      <c r="B9" s="29">
        <f>SUM(B2:B7)</f>
        <v>3</v>
      </c>
      <c r="C9" s="29"/>
      <c r="D9" s="32"/>
      <c r="E9" s="32">
        <f>SUM(E2:E8)</f>
        <v>29250</v>
      </c>
      <c r="F9" s="29"/>
    </row>
    <row r="10" spans="1:13" x14ac:dyDescent="0.25">
      <c r="A10" s="24" t="s">
        <v>0</v>
      </c>
      <c r="D10" s="31"/>
      <c r="E10" s="33">
        <f>ROUND(E9/B9,0)</f>
        <v>9750</v>
      </c>
    </row>
    <row r="11" spans="1:13" x14ac:dyDescent="0.25">
      <c r="A11" s="24" t="s">
        <v>25</v>
      </c>
      <c r="D11" s="31"/>
      <c r="E11" s="33">
        <f>E14/B9</f>
        <v>56.333333333333336</v>
      </c>
    </row>
    <row r="12" spans="1:13" x14ac:dyDescent="0.25">
      <c r="D12" s="30"/>
    </row>
    <row r="13" spans="1:13" x14ac:dyDescent="0.25">
      <c r="A13" s="59" t="s">
        <v>42</v>
      </c>
      <c r="B13" s="60"/>
      <c r="C13" s="60"/>
      <c r="D13" s="60"/>
      <c r="E13" s="61">
        <f>ROUND(VLOOKUP(B9,'FIA ST (Data)'!B:D,3,0),0)</f>
        <v>29081</v>
      </c>
      <c r="F13" s="60"/>
      <c r="G13" s="57"/>
    </row>
    <row r="14" spans="1:13" x14ac:dyDescent="0.25">
      <c r="A14" s="38" t="s">
        <v>18</v>
      </c>
      <c r="B14" s="39"/>
      <c r="C14" s="39"/>
      <c r="D14" s="39"/>
      <c r="E14" s="40">
        <f>E9-E13</f>
        <v>169</v>
      </c>
    </row>
    <row r="17" spans="1:3" x14ac:dyDescent="0.25">
      <c r="A17" s="49" t="s">
        <v>30</v>
      </c>
    </row>
    <row r="18" spans="1:3" x14ac:dyDescent="0.25">
      <c r="A18" s="49" t="s">
        <v>31</v>
      </c>
      <c r="B18" s="31"/>
      <c r="C18" s="31"/>
    </row>
    <row r="19" spans="1:3" x14ac:dyDescent="0.25">
      <c r="A19" s="49" t="s">
        <v>41</v>
      </c>
      <c r="B19" s="31"/>
      <c r="C19" s="31"/>
    </row>
    <row r="20" spans="1:3" x14ac:dyDescent="0.25">
      <c r="A20" s="49" t="s">
        <v>36</v>
      </c>
      <c r="B20" s="31"/>
      <c r="C20" s="31"/>
    </row>
    <row r="21" spans="1:3" x14ac:dyDescent="0.25">
      <c r="A21" s="49" t="s">
        <v>37</v>
      </c>
      <c r="B21" s="31"/>
      <c r="C21" s="31"/>
    </row>
    <row r="22" spans="1:3" x14ac:dyDescent="0.25">
      <c r="B22" s="31"/>
      <c r="C22" s="31"/>
    </row>
    <row r="23" spans="1:3" x14ac:dyDescent="0.25">
      <c r="A23" s="23" t="s">
        <v>26</v>
      </c>
    </row>
    <row r="24" spans="1:3" x14ac:dyDescent="0.25">
      <c r="A24" s="23" t="s">
        <v>27</v>
      </c>
    </row>
    <row r="25" spans="1:3" x14ac:dyDescent="0.25">
      <c r="A25" s="23" t="s">
        <v>28</v>
      </c>
    </row>
    <row r="27" spans="1:3" x14ac:dyDescent="0.25">
      <c r="A27" s="23" t="s">
        <v>32</v>
      </c>
    </row>
  </sheetData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B28D-3599-489A-BFF4-D9366031CEF0}">
  <dimension ref="B4:M37"/>
  <sheetViews>
    <sheetView topLeftCell="A6" workbookViewId="0">
      <selection activeCell="C17" sqref="C17"/>
    </sheetView>
  </sheetViews>
  <sheetFormatPr defaultColWidth="9.140625" defaultRowHeight="15" x14ac:dyDescent="0.25"/>
  <cols>
    <col min="1" max="1" width="8" style="2" customWidth="1"/>
    <col min="2" max="4" width="14.140625" style="2" customWidth="1"/>
    <col min="5" max="5" width="14.140625" style="3" customWidth="1"/>
    <col min="6" max="6" width="14.140625" style="2" customWidth="1"/>
    <col min="7" max="8" width="8" style="2" customWidth="1"/>
    <col min="9" max="11" width="14.140625" style="2" customWidth="1"/>
    <col min="12" max="12" width="14.140625" style="3" customWidth="1"/>
    <col min="13" max="13" width="14.140625" style="2" customWidth="1"/>
    <col min="14" max="14" width="8" style="2" customWidth="1"/>
    <col min="15" max="16384" width="9.140625" style="2"/>
  </cols>
  <sheetData>
    <row r="4" spans="2:13" ht="23.25" x14ac:dyDescent="0.35">
      <c r="D4" s="4"/>
      <c r="K4" s="4"/>
    </row>
    <row r="5" spans="2:13" x14ac:dyDescent="0.25">
      <c r="D5" s="5"/>
      <c r="K5" s="5"/>
    </row>
    <row r="6" spans="2:13" x14ac:dyDescent="0.25">
      <c r="D6" s="5"/>
      <c r="K6" s="5"/>
    </row>
    <row r="7" spans="2:13" x14ac:dyDescent="0.25">
      <c r="D7" s="5"/>
      <c r="K7" s="5"/>
    </row>
    <row r="8" spans="2:13" ht="21" x14ac:dyDescent="0.35">
      <c r="D8" s="21" t="s">
        <v>8</v>
      </c>
      <c r="K8" s="21" t="s">
        <v>8</v>
      </c>
    </row>
    <row r="9" spans="2:13" x14ac:dyDescent="0.25">
      <c r="D9" s="6" t="s">
        <v>9</v>
      </c>
      <c r="K9" s="6" t="s">
        <v>9</v>
      </c>
    </row>
    <row r="10" spans="2:13" ht="15.75" thickBot="1" x14ac:dyDescent="0.3"/>
    <row r="11" spans="2:13" x14ac:dyDescent="0.25">
      <c r="C11" s="7" t="s">
        <v>1</v>
      </c>
      <c r="D11" s="8"/>
      <c r="E11" s="9">
        <v>1.7500000000000002E-2</v>
      </c>
      <c r="J11" s="7" t="s">
        <v>1</v>
      </c>
      <c r="K11" s="8"/>
      <c r="L11" s="9">
        <v>1.7500000000000002E-2</v>
      </c>
    </row>
    <row r="12" spans="2:13" ht="15.75" thickBot="1" x14ac:dyDescent="0.3">
      <c r="C12" s="10" t="s">
        <v>0</v>
      </c>
      <c r="D12" s="11"/>
      <c r="E12" s="1">
        <f>'FIA Calculator'!E10</f>
        <v>9750</v>
      </c>
      <c r="J12" s="10" t="s">
        <v>0</v>
      </c>
      <c r="K12" s="11"/>
      <c r="L12" s="1" t="e">
        <f>'FIA Calculator'!#REF!</f>
        <v>#REF!</v>
      </c>
    </row>
    <row r="14" spans="2:13" x14ac:dyDescent="0.25">
      <c r="B14" s="12"/>
      <c r="C14" s="12"/>
      <c r="D14" s="13" t="s">
        <v>4</v>
      </c>
      <c r="I14" s="12"/>
      <c r="J14" s="12"/>
      <c r="K14" s="13" t="s">
        <v>4</v>
      </c>
    </row>
    <row r="16" spans="2:13" s="17" customFormat="1" ht="30" x14ac:dyDescent="0.25">
      <c r="B16" s="14" t="s">
        <v>5</v>
      </c>
      <c r="C16" s="15" t="s">
        <v>3</v>
      </c>
      <c r="D16" s="14" t="s">
        <v>6</v>
      </c>
      <c r="E16" s="16" t="s">
        <v>7</v>
      </c>
      <c r="F16" s="14" t="s">
        <v>2</v>
      </c>
      <c r="I16" s="14" t="s">
        <v>5</v>
      </c>
      <c r="J16" s="15" t="s">
        <v>3</v>
      </c>
      <c r="K16" s="14" t="s">
        <v>6</v>
      </c>
      <c r="L16" s="16" t="s">
        <v>7</v>
      </c>
      <c r="M16" s="14" t="s">
        <v>2</v>
      </c>
    </row>
    <row r="17" spans="2:13" x14ac:dyDescent="0.25">
      <c r="B17" s="18">
        <v>21</v>
      </c>
      <c r="C17" s="19">
        <f t="shared" ref="C17:C35" si="0">C18/(1+$E$11/3)</f>
        <v>0.89018345665162757</v>
      </c>
      <c r="D17" s="22">
        <f t="shared" ref="D17:D35" si="1">SUM(D18,C17*$E$12)</f>
        <v>193300.50816799331</v>
      </c>
      <c r="E17" s="22">
        <f t="shared" ref="E17:E31" si="2">B17*$E$12-D17</f>
        <v>11449.491832006694</v>
      </c>
      <c r="F17" s="20">
        <f t="shared" ref="F17:F31" si="3">E17/(B17*$E$12)</f>
        <v>5.5919374026894716E-2</v>
      </c>
      <c r="I17" s="18">
        <v>21</v>
      </c>
      <c r="J17" s="19">
        <f t="shared" ref="J17:J35" si="4">J18/(1+$L$11/3)</f>
        <v>0.89018345665162757</v>
      </c>
      <c r="K17" s="22" t="e">
        <f>SUM(K18,J17*$L$12)</f>
        <v>#REF!</v>
      </c>
      <c r="L17" s="22" t="e">
        <f>I17*$L$12-K17</f>
        <v>#REF!</v>
      </c>
      <c r="M17" s="20" t="e">
        <f>L17/(I17*$L$12)</f>
        <v>#REF!</v>
      </c>
    </row>
    <row r="18" spans="2:13" x14ac:dyDescent="0.25">
      <c r="B18" s="18">
        <v>20</v>
      </c>
      <c r="C18" s="19">
        <f t="shared" si="0"/>
        <v>0.89537619348209541</v>
      </c>
      <c r="D18" s="22">
        <f t="shared" si="1"/>
        <v>184621.21946563994</v>
      </c>
      <c r="E18" s="22">
        <f t="shared" si="2"/>
        <v>10378.780534360063</v>
      </c>
      <c r="F18" s="20">
        <f t="shared" si="3"/>
        <v>5.3224515560820834E-2</v>
      </c>
      <c r="I18" s="18">
        <v>20</v>
      </c>
      <c r="J18" s="19">
        <f t="shared" si="4"/>
        <v>0.89537619348209541</v>
      </c>
      <c r="K18" s="22" t="e">
        <f t="shared" ref="K18:K36" si="5">SUM(K19,J18*$L$12)</f>
        <v>#REF!</v>
      </c>
      <c r="L18" s="22" t="e">
        <f t="shared" ref="L18:L37" si="6">I18*$L$12-K18</f>
        <v>#REF!</v>
      </c>
      <c r="M18" s="20" t="e">
        <f t="shared" ref="M18:M35" si="7">L18/(I18*$L$12)</f>
        <v>#REF!</v>
      </c>
    </row>
    <row r="19" spans="2:13" x14ac:dyDescent="0.25">
      <c r="B19" s="34">
        <v>19</v>
      </c>
      <c r="C19" s="35">
        <f t="shared" si="0"/>
        <v>0.90059922127740766</v>
      </c>
      <c r="D19" s="36">
        <f t="shared" si="1"/>
        <v>175891.30157918952</v>
      </c>
      <c r="E19" s="36">
        <f t="shared" si="2"/>
        <v>9358.6984208104841</v>
      </c>
      <c r="F19" s="37">
        <f t="shared" si="3"/>
        <v>5.0519289720974275E-2</v>
      </c>
      <c r="I19" s="34">
        <v>19</v>
      </c>
      <c r="J19" s="19">
        <f t="shared" si="4"/>
        <v>0.90059922127740766</v>
      </c>
      <c r="K19" s="22" t="e">
        <f t="shared" si="5"/>
        <v>#REF!</v>
      </c>
      <c r="L19" s="22" t="e">
        <f t="shared" si="6"/>
        <v>#REF!</v>
      </c>
      <c r="M19" s="20" t="e">
        <f t="shared" si="7"/>
        <v>#REF!</v>
      </c>
    </row>
    <row r="20" spans="2:13" x14ac:dyDescent="0.25">
      <c r="B20" s="18">
        <v>18</v>
      </c>
      <c r="C20" s="19">
        <f t="shared" si="0"/>
        <v>0.90585271673485923</v>
      </c>
      <c r="D20" s="22">
        <f t="shared" si="1"/>
        <v>167110.45917173478</v>
      </c>
      <c r="E20" s="22">
        <f t="shared" si="2"/>
        <v>8389.5408282652206</v>
      </c>
      <c r="F20" s="20">
        <f t="shared" si="3"/>
        <v>4.7803651443106672E-2</v>
      </c>
      <c r="I20" s="18">
        <v>18</v>
      </c>
      <c r="J20" s="19">
        <f t="shared" si="4"/>
        <v>0.90585271673485923</v>
      </c>
      <c r="K20" s="22" t="e">
        <f t="shared" si="5"/>
        <v>#REF!</v>
      </c>
      <c r="L20" s="22" t="e">
        <f t="shared" si="6"/>
        <v>#REF!</v>
      </c>
      <c r="M20" s="20" t="e">
        <f t="shared" si="7"/>
        <v>#REF!</v>
      </c>
    </row>
    <row r="21" spans="2:13" x14ac:dyDescent="0.25">
      <c r="B21" s="18">
        <v>17</v>
      </c>
      <c r="C21" s="19">
        <f t="shared" si="0"/>
        <v>0.91113685758247931</v>
      </c>
      <c r="D21" s="22">
        <f t="shared" si="1"/>
        <v>158278.3951835699</v>
      </c>
      <c r="E21" s="22">
        <f t="shared" si="2"/>
        <v>7471.6048164301028</v>
      </c>
      <c r="F21" s="20">
        <f t="shared" si="3"/>
        <v>4.507755545357528E-2</v>
      </c>
      <c r="I21" s="18">
        <v>17</v>
      </c>
      <c r="J21" s="19">
        <f t="shared" si="4"/>
        <v>0.91113685758247931</v>
      </c>
      <c r="K21" s="22" t="e">
        <f t="shared" si="5"/>
        <v>#REF!</v>
      </c>
      <c r="L21" s="22" t="e">
        <f t="shared" si="6"/>
        <v>#REF!</v>
      </c>
      <c r="M21" s="20" t="e">
        <f t="shared" si="7"/>
        <v>#REF!</v>
      </c>
    </row>
    <row r="22" spans="2:13" x14ac:dyDescent="0.25">
      <c r="B22" s="18">
        <v>16</v>
      </c>
      <c r="C22" s="19">
        <f t="shared" si="0"/>
        <v>0.91645182258504376</v>
      </c>
      <c r="D22" s="22">
        <f t="shared" si="1"/>
        <v>149394.81082214072</v>
      </c>
      <c r="E22" s="22">
        <f t="shared" si="2"/>
        <v>6605.1891778592835</v>
      </c>
      <c r="F22" s="20">
        <f t="shared" si="3"/>
        <v>4.234095626832874E-2</v>
      </c>
      <c r="I22" s="18">
        <v>16</v>
      </c>
      <c r="J22" s="19">
        <f t="shared" si="4"/>
        <v>0.91645182258504376</v>
      </c>
      <c r="K22" s="22" t="e">
        <f t="shared" si="5"/>
        <v>#REF!</v>
      </c>
      <c r="L22" s="22" t="e">
        <f t="shared" si="6"/>
        <v>#REF!</v>
      </c>
      <c r="M22" s="20" t="e">
        <f t="shared" si="7"/>
        <v>#REF!</v>
      </c>
    </row>
    <row r="23" spans="2:13" x14ac:dyDescent="0.25">
      <c r="B23" s="18">
        <v>15</v>
      </c>
      <c r="C23" s="19">
        <f t="shared" si="0"/>
        <v>0.9217977915501232</v>
      </c>
      <c r="D23" s="22">
        <f t="shared" si="1"/>
        <v>140459.40555193654</v>
      </c>
      <c r="E23" s="22">
        <f t="shared" si="2"/>
        <v>5790.5944480634644</v>
      </c>
      <c r="F23" s="20">
        <f t="shared" si="3"/>
        <v>3.9593808191886938E-2</v>
      </c>
      <c r="I23" s="18">
        <v>15</v>
      </c>
      <c r="J23" s="19">
        <f t="shared" si="4"/>
        <v>0.9217977915501232</v>
      </c>
      <c r="K23" s="22" t="e">
        <f t="shared" si="5"/>
        <v>#REF!</v>
      </c>
      <c r="L23" s="22" t="e">
        <f t="shared" si="6"/>
        <v>#REF!</v>
      </c>
      <c r="M23" s="20" t="e">
        <f t="shared" si="7"/>
        <v>#REF!</v>
      </c>
    </row>
    <row r="24" spans="2:13" x14ac:dyDescent="0.25">
      <c r="B24" s="18">
        <v>14</v>
      </c>
      <c r="C24" s="19">
        <f t="shared" si="0"/>
        <v>0.92717494533416556</v>
      </c>
      <c r="D24" s="22">
        <f t="shared" si="1"/>
        <v>131471.87708432283</v>
      </c>
      <c r="E24" s="22">
        <f t="shared" si="2"/>
        <v>5028.1229156771733</v>
      </c>
      <c r="F24" s="20">
        <f t="shared" si="3"/>
        <v>3.6836065316316287E-2</v>
      </c>
      <c r="I24" s="18">
        <v>14</v>
      </c>
      <c r="J24" s="19">
        <f t="shared" si="4"/>
        <v>0.92717494533416556</v>
      </c>
      <c r="K24" s="22" t="e">
        <f t="shared" si="5"/>
        <v>#REF!</v>
      </c>
      <c r="L24" s="22" t="e">
        <f t="shared" si="6"/>
        <v>#REF!</v>
      </c>
      <c r="M24" s="20" t="e">
        <f t="shared" si="7"/>
        <v>#REF!</v>
      </c>
    </row>
    <row r="25" spans="2:13" x14ac:dyDescent="0.25">
      <c r="B25" s="18">
        <v>13</v>
      </c>
      <c r="C25" s="19">
        <f t="shared" si="0"/>
        <v>0.93258346584861485</v>
      </c>
      <c r="D25" s="22">
        <f t="shared" si="1"/>
        <v>122431.92136731472</v>
      </c>
      <c r="E25" s="22">
        <f t="shared" si="2"/>
        <v>4318.0786326852831</v>
      </c>
      <c r="F25" s="20">
        <f t="shared" si="3"/>
        <v>3.4067681520199469E-2</v>
      </c>
      <c r="I25" s="18">
        <v>13</v>
      </c>
      <c r="J25" s="19">
        <f t="shared" si="4"/>
        <v>0.93258346584861485</v>
      </c>
      <c r="K25" s="22" t="e">
        <f t="shared" si="5"/>
        <v>#REF!</v>
      </c>
      <c r="L25" s="22" t="e">
        <f t="shared" si="6"/>
        <v>#REF!</v>
      </c>
      <c r="M25" s="20" t="e">
        <f t="shared" si="7"/>
        <v>#REF!</v>
      </c>
    </row>
    <row r="26" spans="2:13" x14ac:dyDescent="0.25">
      <c r="B26" s="18">
        <v>12</v>
      </c>
      <c r="C26" s="19">
        <f t="shared" si="0"/>
        <v>0.93802353606606514</v>
      </c>
      <c r="D26" s="22">
        <f t="shared" si="1"/>
        <v>113339.23257529072</v>
      </c>
      <c r="E26" s="22">
        <f t="shared" si="2"/>
        <v>3660.76742470928</v>
      </c>
      <c r="F26" s="20">
        <f t="shared" si="3"/>
        <v>3.1288610467600682E-2</v>
      </c>
      <c r="I26" s="18">
        <v>12</v>
      </c>
      <c r="J26" s="19">
        <f t="shared" si="4"/>
        <v>0.93802353606606514</v>
      </c>
      <c r="K26" s="22" t="e">
        <f t="shared" si="5"/>
        <v>#REF!</v>
      </c>
      <c r="L26" s="22" t="e">
        <f t="shared" si="6"/>
        <v>#REF!</v>
      </c>
      <c r="M26" s="20" t="e">
        <f t="shared" si="7"/>
        <v>#REF!</v>
      </c>
    </row>
    <row r="27" spans="2:13" x14ac:dyDescent="0.25">
      <c r="B27" s="18">
        <v>11</v>
      </c>
      <c r="C27" s="19">
        <f t="shared" si="0"/>
        <v>0.94349534002645052</v>
      </c>
      <c r="D27" s="22">
        <f t="shared" si="1"/>
        <v>104193.50309864659</v>
      </c>
      <c r="E27" s="22">
        <f t="shared" si="2"/>
        <v>3056.4969013534137</v>
      </c>
      <c r="F27" s="20">
        <f t="shared" si="3"/>
        <v>2.8498805607024835E-2</v>
      </c>
      <c r="I27" s="18">
        <v>11</v>
      </c>
      <c r="J27" s="19">
        <f t="shared" si="4"/>
        <v>0.94349534002645052</v>
      </c>
      <c r="K27" s="22" t="e">
        <f t="shared" si="5"/>
        <v>#REF!</v>
      </c>
      <c r="L27" s="22" t="e">
        <f t="shared" si="6"/>
        <v>#REF!</v>
      </c>
      <c r="M27" s="20" t="e">
        <f t="shared" si="7"/>
        <v>#REF!</v>
      </c>
    </row>
    <row r="28" spans="2:13" x14ac:dyDescent="0.25">
      <c r="B28" s="18">
        <v>10</v>
      </c>
      <c r="C28" s="19">
        <f t="shared" si="0"/>
        <v>0.94899906284327151</v>
      </c>
      <c r="D28" s="22">
        <f t="shared" si="1"/>
        <v>94994.42353338869</v>
      </c>
      <c r="E28" s="22">
        <f t="shared" si="2"/>
        <v>2505.57646661131</v>
      </c>
      <c r="F28" s="20">
        <f t="shared" si="3"/>
        <v>2.5698220170372411E-2</v>
      </c>
      <c r="I28" s="18">
        <v>10</v>
      </c>
      <c r="J28" s="19">
        <f t="shared" si="4"/>
        <v>0.94899906284327151</v>
      </c>
      <c r="K28" s="22" t="e">
        <f t="shared" si="5"/>
        <v>#REF!</v>
      </c>
      <c r="L28" s="22" t="e">
        <f t="shared" si="6"/>
        <v>#REF!</v>
      </c>
      <c r="M28" s="20" t="e">
        <f t="shared" si="7"/>
        <v>#REF!</v>
      </c>
    </row>
    <row r="29" spans="2:13" x14ac:dyDescent="0.25">
      <c r="B29" s="18">
        <v>9</v>
      </c>
      <c r="C29" s="19">
        <f t="shared" si="0"/>
        <v>0.95453489070985731</v>
      </c>
      <c r="D29" s="22">
        <f t="shared" si="1"/>
        <v>85741.682670666793</v>
      </c>
      <c r="E29" s="22">
        <f t="shared" si="2"/>
        <v>2008.3173293332075</v>
      </c>
      <c r="F29" s="20">
        <f t="shared" si="3"/>
        <v>2.2886807171888405E-2</v>
      </c>
      <c r="I29" s="18">
        <v>9</v>
      </c>
      <c r="J29" s="19">
        <f t="shared" si="4"/>
        <v>0.95453489070985731</v>
      </c>
      <c r="K29" s="22" t="e">
        <f t="shared" si="5"/>
        <v>#REF!</v>
      </c>
      <c r="L29" s="22" t="e">
        <f t="shared" si="6"/>
        <v>#REF!</v>
      </c>
      <c r="M29" s="20" t="e">
        <f t="shared" si="7"/>
        <v>#REF!</v>
      </c>
    </row>
    <row r="30" spans="2:13" x14ac:dyDescent="0.25">
      <c r="B30" s="18">
        <v>8</v>
      </c>
      <c r="C30" s="19">
        <f t="shared" si="0"/>
        <v>0.96010301090566486</v>
      </c>
      <c r="D30" s="22">
        <f t="shared" si="1"/>
        <v>76434.967486245689</v>
      </c>
      <c r="E30" s="22">
        <f t="shared" si="2"/>
        <v>1565.0325137543114</v>
      </c>
      <c r="F30" s="20">
        <f t="shared" si="3"/>
        <v>2.0064519407106556E-2</v>
      </c>
      <c r="I30" s="18">
        <v>8</v>
      </c>
      <c r="J30" s="19">
        <f t="shared" si="4"/>
        <v>0.96010301090566486</v>
      </c>
      <c r="K30" s="22" t="e">
        <f t="shared" si="5"/>
        <v>#REF!</v>
      </c>
      <c r="L30" s="22" t="e">
        <f t="shared" si="6"/>
        <v>#REF!</v>
      </c>
      <c r="M30" s="20" t="e">
        <f t="shared" si="7"/>
        <v>#REF!</v>
      </c>
    </row>
    <row r="31" spans="2:13" x14ac:dyDescent="0.25">
      <c r="B31" s="18">
        <v>7</v>
      </c>
      <c r="C31" s="19">
        <f t="shared" si="0"/>
        <v>0.96570361180261455</v>
      </c>
      <c r="D31" s="22">
        <f t="shared" si="1"/>
        <v>67073.963129915457</v>
      </c>
      <c r="E31" s="22">
        <f t="shared" si="2"/>
        <v>1176.0368700845429</v>
      </c>
      <c r="F31" s="20">
        <f t="shared" si="3"/>
        <v>1.7231309451788173E-2</v>
      </c>
      <c r="I31" s="18">
        <v>7</v>
      </c>
      <c r="J31" s="19">
        <f t="shared" si="4"/>
        <v>0.96570361180261455</v>
      </c>
      <c r="K31" s="22" t="e">
        <f t="shared" si="5"/>
        <v>#REF!</v>
      </c>
      <c r="L31" s="22" t="e">
        <f t="shared" si="6"/>
        <v>#REF!</v>
      </c>
      <c r="M31" s="20" t="e">
        <f t="shared" si="7"/>
        <v>#REF!</v>
      </c>
    </row>
    <row r="32" spans="2:13" x14ac:dyDescent="0.25">
      <c r="B32" s="18">
        <v>6</v>
      </c>
      <c r="C32" s="19">
        <f t="shared" si="0"/>
        <v>0.97133688287146314</v>
      </c>
      <c r="D32" s="22">
        <f t="shared" si="1"/>
        <v>57658.352914839961</v>
      </c>
      <c r="E32" s="22">
        <f t="shared" ref="E32:E36" si="8">B32*$E$12-D32</f>
        <v>841.64708516003884</v>
      </c>
      <c r="F32" s="20">
        <f t="shared" ref="F32:F37" si="9">E32/(B32*$E$12)</f>
        <v>1.4387129660855365E-2</v>
      </c>
      <c r="I32" s="18">
        <v>6</v>
      </c>
      <c r="J32" s="19">
        <f t="shared" si="4"/>
        <v>0.97133688287146314</v>
      </c>
      <c r="K32" s="22" t="e">
        <f t="shared" si="5"/>
        <v>#REF!</v>
      </c>
      <c r="L32" s="22" t="e">
        <f t="shared" si="6"/>
        <v>#REF!</v>
      </c>
      <c r="M32" s="20" t="e">
        <f t="shared" si="7"/>
        <v>#REF!</v>
      </c>
    </row>
    <row r="33" spans="2:13" x14ac:dyDescent="0.25">
      <c r="B33" s="18">
        <v>5</v>
      </c>
      <c r="C33" s="19">
        <f t="shared" si="0"/>
        <v>0.97700301468821338</v>
      </c>
      <c r="D33" s="22">
        <f t="shared" si="1"/>
        <v>48187.818306843197</v>
      </c>
      <c r="E33" s="22">
        <f t="shared" si="8"/>
        <v>562.18169315680279</v>
      </c>
      <c r="F33" s="20">
        <f t="shared" si="9"/>
        <v>1.1531932167319032E-2</v>
      </c>
      <c r="I33" s="18">
        <v>5</v>
      </c>
      <c r="J33" s="19">
        <f t="shared" si="4"/>
        <v>0.97700301468821338</v>
      </c>
      <c r="K33" s="22" t="e">
        <f t="shared" si="5"/>
        <v>#REF!</v>
      </c>
      <c r="L33" s="22" t="e">
        <f t="shared" si="6"/>
        <v>#REF!</v>
      </c>
      <c r="M33" s="20" t="e">
        <f t="shared" si="7"/>
        <v>#REF!</v>
      </c>
    </row>
    <row r="34" spans="2:13" x14ac:dyDescent="0.25">
      <c r="B34" s="18">
        <v>4</v>
      </c>
      <c r="C34" s="19">
        <f t="shared" si="0"/>
        <v>0.98270219894056132</v>
      </c>
      <c r="D34" s="22">
        <f t="shared" si="1"/>
        <v>38662.038913633114</v>
      </c>
      <c r="E34" s="22">
        <f t="shared" si="8"/>
        <v>337.96108636688587</v>
      </c>
      <c r="F34" s="20">
        <f t="shared" si="9"/>
        <v>8.6656688812022011E-3</v>
      </c>
      <c r="I34" s="18">
        <v>4</v>
      </c>
      <c r="J34" s="19">
        <f t="shared" si="4"/>
        <v>0.98270219894056132</v>
      </c>
      <c r="K34" s="22" t="e">
        <f t="shared" si="5"/>
        <v>#REF!</v>
      </c>
      <c r="L34" s="22" t="e">
        <f t="shared" si="6"/>
        <v>#REF!</v>
      </c>
      <c r="M34" s="20" t="e">
        <f t="shared" si="7"/>
        <v>#REF!</v>
      </c>
    </row>
    <row r="35" spans="2:13" x14ac:dyDescent="0.25">
      <c r="B35" s="18">
        <v>3</v>
      </c>
      <c r="C35" s="19">
        <f t="shared" si="0"/>
        <v>0.98843462843438123</v>
      </c>
      <c r="D35" s="22">
        <f t="shared" si="1"/>
        <v>29080.692473962641</v>
      </c>
      <c r="E35" s="22">
        <f t="shared" si="8"/>
        <v>169.30752603735891</v>
      </c>
      <c r="F35" s="20">
        <f t="shared" si="9"/>
        <v>5.7882914884567153E-3</v>
      </c>
      <c r="I35" s="18">
        <v>3</v>
      </c>
      <c r="J35" s="19">
        <f t="shared" si="4"/>
        <v>0.98843462843438123</v>
      </c>
      <c r="K35" s="22" t="e">
        <f t="shared" si="5"/>
        <v>#REF!</v>
      </c>
      <c r="L35" s="22" t="e">
        <f t="shared" si="6"/>
        <v>#REF!</v>
      </c>
      <c r="M35" s="20" t="e">
        <f t="shared" si="7"/>
        <v>#REF!</v>
      </c>
    </row>
    <row r="36" spans="2:13" x14ac:dyDescent="0.25">
      <c r="B36" s="18">
        <v>2</v>
      </c>
      <c r="C36" s="19">
        <f>C37/(1+$E$11/3)</f>
        <v>0.99420049710024849</v>
      </c>
      <c r="D36" s="22">
        <f>SUM(D37,C36*$E$12)</f>
        <v>19443.454846727422</v>
      </c>
      <c r="E36" s="22">
        <f t="shared" si="8"/>
        <v>56.545153272578318</v>
      </c>
      <c r="F36" s="20">
        <f t="shared" si="9"/>
        <v>2.899751449875811E-3</v>
      </c>
      <c r="I36" s="18">
        <v>2</v>
      </c>
      <c r="J36" s="19">
        <f>J37/(1+$L$11/3)</f>
        <v>0.99420049710024849</v>
      </c>
      <c r="K36" s="22" t="e">
        <f t="shared" si="5"/>
        <v>#REF!</v>
      </c>
      <c r="L36" s="22" t="e">
        <f t="shared" si="6"/>
        <v>#REF!</v>
      </c>
      <c r="M36" s="20" t="e">
        <f>L36/(I36*$L$12)</f>
        <v>#REF!</v>
      </c>
    </row>
    <row r="37" spans="2:13" x14ac:dyDescent="0.25">
      <c r="B37" s="18">
        <v>1</v>
      </c>
      <c r="C37" s="19">
        <v>1</v>
      </c>
      <c r="D37" s="22">
        <f>$E$12</f>
        <v>9750</v>
      </c>
      <c r="E37" s="22">
        <f>B37*$E$12-D37</f>
        <v>0</v>
      </c>
      <c r="F37" s="20">
        <f t="shared" si="9"/>
        <v>0</v>
      </c>
      <c r="I37" s="18">
        <v>1</v>
      </c>
      <c r="J37" s="19">
        <v>1</v>
      </c>
      <c r="K37" s="22" t="e">
        <f>$L$12</f>
        <v>#REF!</v>
      </c>
      <c r="L37" s="22" t="e">
        <f t="shared" si="6"/>
        <v>#REF!</v>
      </c>
      <c r="M37" s="20" t="e">
        <f t="shared" ref="M37" si="10">L37/(I37*$L$12)</f>
        <v>#REF!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bce585-41b4-49a4-a723-5fa4943a91af">
      <Terms xmlns="http://schemas.microsoft.com/office/infopath/2007/PartnerControls"/>
    </lcf76f155ced4ddcb4097134ff3c332f>
    <TaxCatchAll xmlns="3d9bf369-bd70-4a2b-b55e-e9ca6094c5e3" xsi:nil="true"/>
    <b55cbeb0c7394ec9adfa43f85624559b xmlns="3d9bf369-bd70-4a2b-b55e-e9ca6094c5e3">
      <Terms xmlns="http://schemas.microsoft.com/office/infopath/2007/PartnerControls"/>
    </b55cbeb0c7394ec9adfa43f85624559b>
    <TaxKeywordTaxHTField xmlns="3d9bf369-bd70-4a2b-b55e-e9ca6094c5e3">
      <Terms xmlns="http://schemas.microsoft.com/office/infopath/2007/PartnerControls"/>
    </TaxKeywordTaxHTField>
    <_Flow_SignoffStatus xmlns="0cbce585-41b4-49a4-a723-5fa4943a91a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8591D82682704D93FA1FC4CD48F760" ma:contentTypeVersion="26" ma:contentTypeDescription="Create a new document." ma:contentTypeScope="" ma:versionID="b5dc59bd69ff5689b0bd3a4229d02e64">
  <xsd:schema xmlns:xsd="http://www.w3.org/2001/XMLSchema" xmlns:xs="http://www.w3.org/2001/XMLSchema" xmlns:p="http://schemas.microsoft.com/office/2006/metadata/properties" xmlns:ns2="3d9bf369-bd70-4a2b-b55e-e9ca6094c5e3" xmlns:ns3="0cbce585-41b4-49a4-a723-5fa4943a91af" targetNamespace="http://schemas.microsoft.com/office/2006/metadata/properties" ma:root="true" ma:fieldsID="cafa4352da13bab7e5d508969a698819" ns2:_="" ns3:_="">
    <xsd:import namespace="3d9bf369-bd70-4a2b-b55e-e9ca6094c5e3"/>
    <xsd:import namespace="0cbce585-41b4-49a4-a723-5fa4943a91af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b55cbeb0c7394ec9adfa43f85624559b" minOccurs="0"/>
                <xsd:element ref="ns2:TaxKeywordTaxHTFiel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bf369-bd70-4a2b-b55e-e9ca6094c5e3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cc5b198f-d92e-4922-bee0-2ceb3f06fce9}" ma:internalName="TaxCatchAll" ma:showField="CatchAllData" ma:web="3d9bf369-bd70-4a2b-b55e-e9ca6094c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55cbeb0c7394ec9adfa43f85624559b" ma:index="10" nillable="true" ma:taxonomy="true" ma:internalName="b55cbeb0c7394ec9adfa43f85624559b" ma:taxonomyFieldName="Academic_x0020_Year" ma:displayName="Academic Year" ma:default="" ma:fieldId="{b55cbeb0-c739-4ec9-adfa-43f85624559b}" ma:taxonomyMulti="true" ma:sspId="876332c0-1b06-48b1-9bbc-17e5ab2b1bd7" ma:termSetId="ca2e220a-dc90-47d3-8dd5-f6be690f91f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876332c0-1b06-48b1-9bbc-17e5ab2b1bd7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ce585-41b4-49a4-a723-5fa4943a91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876332c0-1b06-48b1-9bbc-17e5ab2b1b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9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08F4D5-3E3B-4880-8EFE-88B79626A042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3d9bf369-bd70-4a2b-b55e-e9ca6094c5e3"/>
    <ds:schemaRef ds:uri="http://schemas.microsoft.com/office/infopath/2007/PartnerControls"/>
    <ds:schemaRef ds:uri="0cbce585-41b4-49a4-a723-5fa4943a91af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1E2486A-C511-42A8-921B-39AD20B687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1EC15D-74E7-4882-B18F-9234BDC4C0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bf369-bd70-4a2b-b55e-e9ca6094c5e3"/>
    <ds:schemaRef ds:uri="0cbce585-41b4-49a4-a723-5fa4943a91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FIA - Termly Contribution</vt:lpstr>
      <vt:lpstr>FIA - Total Contribution</vt:lpstr>
      <vt:lpstr>FIA Calculator</vt:lpstr>
      <vt:lpstr>FIA ST (Data)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 Hughes</dc:creator>
  <cp:lastModifiedBy>Mr T Hughes</cp:lastModifiedBy>
  <cp:lastPrinted>2024-02-02T14:24:36Z</cp:lastPrinted>
  <dcterms:created xsi:type="dcterms:W3CDTF">2023-03-13T15:16:49Z</dcterms:created>
  <dcterms:modified xsi:type="dcterms:W3CDTF">2026-03-27T10:14:49Z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0x0101003E8591D82682704D93FA1FC4CD48F760</vt:lpwstr>
  </property>
  <property fmtid="{D5CDD505-2E9C-101B-9397-08002B2CF9AE}" pid="3" name="Academic Year">
    <vt:lpwstr/>
  </property>
  <property fmtid="{D5CDD505-2E9C-101B-9397-08002B2CF9AE}" pid="4" name="TaxKeyword">
    <vt:lpwstr/>
  </property>
  <property fmtid="{D5CDD505-2E9C-101B-9397-08002B2CF9AE}" pid="5" name="MediaServiceImageTags">
    <vt:lpwstr/>
  </property>
  <property fmtid="{D5CDD505-2E9C-101B-9397-08002B2CF9AE}" pid="6" name="Academic_x0020_Year">
    <vt:lpwstr/>
  </property>
</Properties>
</file>